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LB\DRI\Common\Investor\PREZENTACJE\IR prezent\"/>
    </mc:Choice>
  </mc:AlternateContent>
  <xr:revisionPtr revIDLastSave="0" documentId="13_ncr:1_{6A2CE744-4FA5-410B-8F44-9A201899FA2C}" xr6:coauthVersionLast="47" xr6:coauthVersionMax="47" xr10:uidLastSave="{00000000-0000-0000-0000-000000000000}"/>
  <bookViews>
    <workbookView xWindow="1200" yWindow="370" windowWidth="16760" windowHeight="9490" xr2:uid="{00000000-000D-0000-FFFF-FFFF00000000}"/>
  </bookViews>
  <sheets>
    <sheet name="P&amp;L" sheetId="6" r:id="rId1"/>
    <sheet name="Interest" sheetId="8" r:id="rId2"/>
    <sheet name="Fees" sheetId="4" r:id="rId3"/>
    <sheet name="Cost" sheetId="5" r:id="rId4"/>
    <sheet name="Segm Retail" sheetId="18" r:id="rId5"/>
    <sheet name="Segm Corpo" sheetId="19" r:id="rId6"/>
    <sheet name="Segm ALM&amp;Treas" sheetId="20" r:id="rId7"/>
    <sheet name="Segm FX mortg" sheetId="21" r:id="rId8"/>
    <sheet name="BS new" sheetId="13" r:id="rId9"/>
    <sheet name="L&amp;D" sheetId="3" r:id="rId10"/>
    <sheet name="Loan book quality" sheetId="12" r:id="rId11"/>
    <sheet name="Capital Adequacy" sheetId="10" r:id="rId12"/>
  </sheets>
  <definedNames>
    <definedName name="_sim1">#REF!,#REF!,#REF!,#REF!,#REF!,#REF!,#REF!,#REF!,#REF!,#REF!,#REF!,#REF!,#REF!</definedName>
    <definedName name="_sim2">#REF!,#REF!,#REF!,#REF!,#REF!,#REF!,#REF!,#REF!,#REF!,#REF!,#REF!,#REF!,#REF!</definedName>
    <definedName name="_Toc206829737" localSheetId="8">'BS new'!#REF!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Fees!#REF!</definedName>
    <definedName name="przerwa">#REF!</definedName>
    <definedName name="przerwy">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51" i="12" l="1"/>
  <c r="AF44" i="12"/>
  <c r="AF37" i="12"/>
  <c r="AF30" i="12"/>
  <c r="AF17" i="12"/>
  <c r="AF20" i="12" s="1"/>
  <c r="AF14" i="12"/>
  <c r="AF7" i="12"/>
  <c r="AF10" i="12" s="1"/>
  <c r="AF4" i="12"/>
  <c r="AU53" i="3"/>
  <c r="AU48" i="3"/>
  <c r="AU35" i="3"/>
  <c r="AU29" i="3"/>
  <c r="AU27" i="3" s="1"/>
  <c r="AU30" i="3" s="1"/>
  <c r="AU37" i="3" s="1"/>
  <c r="AU28" i="3"/>
  <c r="AU26" i="3"/>
  <c r="AU25" i="3"/>
  <c r="AU24" i="3"/>
  <c r="AU18" i="3"/>
  <c r="AU15" i="3"/>
  <c r="AU21" i="3" s="1"/>
  <c r="AU9" i="3"/>
  <c r="AU6" i="3"/>
  <c r="AU12" i="3" s="1"/>
  <c r="P33" i="21"/>
  <c r="O33" i="21"/>
  <c r="N33" i="21"/>
  <c r="N14" i="21" s="1"/>
  <c r="M33" i="21"/>
  <c r="M37" i="21" s="1"/>
  <c r="L33" i="21"/>
  <c r="L14" i="21" s="1"/>
  <c r="K33" i="21"/>
  <c r="K14" i="21" s="1"/>
  <c r="P28" i="21"/>
  <c r="P37" i="21" s="1"/>
  <c r="P18" i="21" s="1"/>
  <c r="O28" i="21"/>
  <c r="O37" i="21" s="1"/>
  <c r="N28" i="21"/>
  <c r="N37" i="21" s="1"/>
  <c r="N18" i="21" s="1"/>
  <c r="M28" i="21"/>
  <c r="L28" i="21"/>
  <c r="K28" i="21"/>
  <c r="J18" i="21"/>
  <c r="I18" i="21"/>
  <c r="H18" i="21"/>
  <c r="G18" i="21"/>
  <c r="F18" i="21"/>
  <c r="E18" i="21"/>
  <c r="D18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D17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P14" i="21"/>
  <c r="O14" i="21"/>
  <c r="J14" i="21"/>
  <c r="I14" i="21"/>
  <c r="H14" i="21"/>
  <c r="G14" i="21"/>
  <c r="F14" i="21"/>
  <c r="E14" i="21"/>
  <c r="D14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P11" i="21"/>
  <c r="O11" i="21"/>
  <c r="N11" i="21"/>
  <c r="M11" i="21"/>
  <c r="L11" i="21"/>
  <c r="K11" i="21"/>
  <c r="J11" i="21"/>
  <c r="I11" i="21"/>
  <c r="H11" i="21"/>
  <c r="G11" i="21"/>
  <c r="F11" i="21"/>
  <c r="E11" i="21"/>
  <c r="D11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P8" i="21"/>
  <c r="O8" i="21"/>
  <c r="N8" i="21"/>
  <c r="M8" i="21"/>
  <c r="L8" i="21"/>
  <c r="K8" i="21"/>
  <c r="J8" i="21"/>
  <c r="I8" i="21"/>
  <c r="H8" i="21"/>
  <c r="G8" i="21"/>
  <c r="F8" i="21"/>
  <c r="E8" i="21"/>
  <c r="D8" i="21"/>
  <c r="P7" i="21"/>
  <c r="O7" i="21"/>
  <c r="N7" i="21"/>
  <c r="M7" i="21"/>
  <c r="L7" i="21"/>
  <c r="K7" i="21"/>
  <c r="J7" i="21"/>
  <c r="I7" i="21"/>
  <c r="H7" i="21"/>
  <c r="G7" i="21"/>
  <c r="F7" i="21"/>
  <c r="E7" i="21"/>
  <c r="D7" i="21"/>
  <c r="P6" i="21"/>
  <c r="O6" i="21"/>
  <c r="N6" i="21"/>
  <c r="M6" i="21"/>
  <c r="L6" i="21"/>
  <c r="K6" i="21"/>
  <c r="J6" i="21"/>
  <c r="I6" i="21"/>
  <c r="H6" i="21"/>
  <c r="G6" i="21"/>
  <c r="F6" i="21"/>
  <c r="E6" i="21"/>
  <c r="D6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P4" i="21"/>
  <c r="O4" i="21"/>
  <c r="N4" i="21"/>
  <c r="M4" i="21"/>
  <c r="L4" i="21"/>
  <c r="K4" i="21"/>
  <c r="J4" i="21"/>
  <c r="I4" i="21"/>
  <c r="H4" i="21"/>
  <c r="G4" i="21"/>
  <c r="F4" i="21"/>
  <c r="E4" i="21"/>
  <c r="D4" i="21"/>
  <c r="P33" i="20"/>
  <c r="P14" i="20" s="1"/>
  <c r="O33" i="20"/>
  <c r="N33" i="20"/>
  <c r="M33" i="20"/>
  <c r="M37" i="20" s="1"/>
  <c r="L33" i="20"/>
  <c r="L37" i="20" s="1"/>
  <c r="L18" i="20" s="1"/>
  <c r="K33" i="20"/>
  <c r="K14" i="20" s="1"/>
  <c r="P28" i="20"/>
  <c r="P9" i="20" s="1"/>
  <c r="O28" i="20"/>
  <c r="O9" i="20" s="1"/>
  <c r="N28" i="20"/>
  <c r="N9" i="20" s="1"/>
  <c r="M28" i="20"/>
  <c r="L28" i="20"/>
  <c r="K28" i="20"/>
  <c r="J18" i="20"/>
  <c r="I18" i="20"/>
  <c r="H18" i="20"/>
  <c r="G18" i="20"/>
  <c r="F18" i="20"/>
  <c r="E18" i="20"/>
  <c r="D18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O14" i="20"/>
  <c r="N14" i="20"/>
  <c r="M14" i="20"/>
  <c r="L14" i="20"/>
  <c r="J14" i="20"/>
  <c r="I14" i="20"/>
  <c r="H14" i="20"/>
  <c r="G14" i="20"/>
  <c r="F14" i="20"/>
  <c r="E14" i="20"/>
  <c r="D14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M9" i="20"/>
  <c r="L9" i="20"/>
  <c r="K9" i="20"/>
  <c r="J9" i="20"/>
  <c r="I9" i="20"/>
  <c r="H9" i="20"/>
  <c r="G9" i="20"/>
  <c r="F9" i="20"/>
  <c r="E9" i="20"/>
  <c r="D9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L37" i="19"/>
  <c r="L18" i="19" s="1"/>
  <c r="P33" i="19"/>
  <c r="O33" i="19"/>
  <c r="N33" i="19"/>
  <c r="M33" i="19"/>
  <c r="L33" i="19"/>
  <c r="K33" i="19"/>
  <c r="P28" i="19"/>
  <c r="P37" i="19" s="1"/>
  <c r="P18" i="19" s="1"/>
  <c r="O28" i="19"/>
  <c r="O37" i="19" s="1"/>
  <c r="N28" i="19"/>
  <c r="N37" i="19" s="1"/>
  <c r="M28" i="19"/>
  <c r="M9" i="19" s="1"/>
  <c r="L28" i="19"/>
  <c r="L9" i="19" s="1"/>
  <c r="K28" i="19"/>
  <c r="K9" i="19" s="1"/>
  <c r="J18" i="19"/>
  <c r="I18" i="19"/>
  <c r="H18" i="19"/>
  <c r="G18" i="19"/>
  <c r="F18" i="19"/>
  <c r="E18" i="19"/>
  <c r="D18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D17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D11" i="19"/>
  <c r="P10" i="19"/>
  <c r="O10" i="19"/>
  <c r="N10" i="19"/>
  <c r="M10" i="19"/>
  <c r="L10" i="19"/>
  <c r="K10" i="19"/>
  <c r="J10" i="19"/>
  <c r="I10" i="19"/>
  <c r="H10" i="19"/>
  <c r="G10" i="19"/>
  <c r="F10" i="19"/>
  <c r="E10" i="19"/>
  <c r="D10" i="19"/>
  <c r="P9" i="19"/>
  <c r="O9" i="19"/>
  <c r="N9" i="19"/>
  <c r="J9" i="19"/>
  <c r="I9" i="19"/>
  <c r="H9" i="19"/>
  <c r="G9" i="19"/>
  <c r="F9" i="19"/>
  <c r="E9" i="19"/>
  <c r="D9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P6" i="19"/>
  <c r="O6" i="19"/>
  <c r="N6" i="19"/>
  <c r="M6" i="19"/>
  <c r="L6" i="19"/>
  <c r="K6" i="19"/>
  <c r="J6" i="19"/>
  <c r="I6" i="19"/>
  <c r="H6" i="19"/>
  <c r="G6" i="19"/>
  <c r="F6" i="19"/>
  <c r="E6" i="19"/>
  <c r="D6" i="19"/>
  <c r="P5" i="19"/>
  <c r="O5" i="19"/>
  <c r="N5" i="19"/>
  <c r="M5" i="19"/>
  <c r="L5" i="19"/>
  <c r="K5" i="19"/>
  <c r="J5" i="19"/>
  <c r="I5" i="19"/>
  <c r="H5" i="19"/>
  <c r="G5" i="19"/>
  <c r="F5" i="19"/>
  <c r="E5" i="19"/>
  <c r="D5" i="19"/>
  <c r="P4" i="19"/>
  <c r="O4" i="19"/>
  <c r="N4" i="19"/>
  <c r="M4" i="19"/>
  <c r="L4" i="19"/>
  <c r="K4" i="19"/>
  <c r="J4" i="19"/>
  <c r="I4" i="19"/>
  <c r="H4" i="19"/>
  <c r="G4" i="19"/>
  <c r="F4" i="19"/>
  <c r="E4" i="19"/>
  <c r="D4" i="19"/>
  <c r="P33" i="18"/>
  <c r="P14" i="18" s="1"/>
  <c r="O33" i="18"/>
  <c r="O14" i="18" s="1"/>
  <c r="N33" i="18"/>
  <c r="N14" i="18" s="1"/>
  <c r="M33" i="18"/>
  <c r="L33" i="18"/>
  <c r="K33" i="18"/>
  <c r="P28" i="18"/>
  <c r="P37" i="18" s="1"/>
  <c r="P18" i="18" s="1"/>
  <c r="O28" i="18"/>
  <c r="O37" i="18" s="1"/>
  <c r="O18" i="18" s="1"/>
  <c r="N28" i="18"/>
  <c r="N37" i="18" s="1"/>
  <c r="M28" i="18"/>
  <c r="M37" i="18" s="1"/>
  <c r="L28" i="18"/>
  <c r="L37" i="18" s="1"/>
  <c r="L18" i="18" s="1"/>
  <c r="K28" i="18"/>
  <c r="K37" i="18" s="1"/>
  <c r="K18" i="18" s="1"/>
  <c r="J18" i="18"/>
  <c r="I18" i="18"/>
  <c r="H18" i="18"/>
  <c r="G18" i="18"/>
  <c r="F18" i="18"/>
  <c r="E18" i="18"/>
  <c r="D18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M14" i="18"/>
  <c r="L14" i="18"/>
  <c r="K14" i="18"/>
  <c r="J14" i="18"/>
  <c r="I14" i="18"/>
  <c r="H14" i="18"/>
  <c r="G14" i="18"/>
  <c r="F14" i="18"/>
  <c r="E14" i="18"/>
  <c r="D14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P9" i="18"/>
  <c r="O9" i="18"/>
  <c r="N9" i="18"/>
  <c r="M9" i="18"/>
  <c r="L9" i="18"/>
  <c r="K9" i="18"/>
  <c r="J9" i="18"/>
  <c r="I9" i="18"/>
  <c r="H9" i="18"/>
  <c r="G9" i="18"/>
  <c r="F9" i="18"/>
  <c r="E9" i="18"/>
  <c r="D9" i="18"/>
  <c r="P8" i="18"/>
  <c r="O8" i="18"/>
  <c r="N8" i="18"/>
  <c r="M8" i="18"/>
  <c r="L8" i="18"/>
  <c r="K8" i="18"/>
  <c r="J8" i="18"/>
  <c r="I8" i="18"/>
  <c r="H8" i="18"/>
  <c r="G8" i="18"/>
  <c r="F8" i="18"/>
  <c r="E8" i="18"/>
  <c r="D8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P6" i="18"/>
  <c r="O6" i="18"/>
  <c r="N6" i="18"/>
  <c r="M6" i="18"/>
  <c r="L6" i="18"/>
  <c r="K6" i="18"/>
  <c r="J6" i="18"/>
  <c r="I6" i="18"/>
  <c r="H6" i="18"/>
  <c r="G6" i="18"/>
  <c r="F6" i="18"/>
  <c r="E6" i="18"/>
  <c r="D6" i="18"/>
  <c r="P5" i="18"/>
  <c r="O5" i="18"/>
  <c r="N5" i="18"/>
  <c r="M5" i="18"/>
  <c r="L5" i="18"/>
  <c r="K5" i="18"/>
  <c r="J5" i="18"/>
  <c r="I5" i="18"/>
  <c r="H5" i="18"/>
  <c r="G5" i="18"/>
  <c r="F5" i="18"/>
  <c r="E5" i="18"/>
  <c r="D5" i="18"/>
  <c r="P4" i="18"/>
  <c r="O4" i="18"/>
  <c r="N4" i="18"/>
  <c r="M4" i="18"/>
  <c r="L4" i="18"/>
  <c r="K4" i="18"/>
  <c r="J4" i="18"/>
  <c r="I4" i="18"/>
  <c r="H4" i="18"/>
  <c r="G4" i="18"/>
  <c r="F4" i="18"/>
  <c r="E4" i="18"/>
  <c r="D4" i="18"/>
  <c r="AU26" i="5"/>
  <c r="AU39" i="5" s="1"/>
  <c r="AU17" i="5"/>
  <c r="AU16" i="5"/>
  <c r="AU15" i="5"/>
  <c r="AU14" i="5"/>
  <c r="AU13" i="5"/>
  <c r="AU12" i="5"/>
  <c r="AU11" i="5"/>
  <c r="AU10" i="5"/>
  <c r="AU9" i="5"/>
  <c r="AU8" i="5"/>
  <c r="AU7" i="5"/>
  <c r="AU6" i="5"/>
  <c r="AU5" i="5" s="1"/>
  <c r="AU18" i="5" s="1"/>
  <c r="AU4" i="5"/>
  <c r="AU80" i="4"/>
  <c r="AU79" i="4"/>
  <c r="AU78" i="4"/>
  <c r="AU77" i="4"/>
  <c r="AU76" i="4"/>
  <c r="AU75" i="4"/>
  <c r="AU74" i="4"/>
  <c r="AU73" i="4"/>
  <c r="AU72" i="4"/>
  <c r="AU71" i="4"/>
  <c r="AU81" i="4" s="1"/>
  <c r="AU68" i="4"/>
  <c r="AU55" i="4"/>
  <c r="AU38" i="4"/>
  <c r="AU37" i="4"/>
  <c r="AU36" i="4"/>
  <c r="AU34" i="4"/>
  <c r="AU33" i="4"/>
  <c r="AU32" i="4"/>
  <c r="AU31" i="4"/>
  <c r="AU30" i="4"/>
  <c r="AU26" i="4"/>
  <c r="AU39" i="4" s="1"/>
  <c r="AU25" i="4"/>
  <c r="AU24" i="4"/>
  <c r="AU23" i="4"/>
  <c r="AU22" i="4"/>
  <c r="AU21" i="4"/>
  <c r="AU20" i="4"/>
  <c r="AU19" i="4"/>
  <c r="AU18" i="4"/>
  <c r="AU17" i="4"/>
  <c r="AU27" i="4" s="1"/>
  <c r="AU14" i="4"/>
  <c r="AU13" i="4"/>
  <c r="AU12" i="4"/>
  <c r="AU11" i="4"/>
  <c r="AU10" i="4"/>
  <c r="AU9" i="4"/>
  <c r="AU35" i="4" s="1"/>
  <c r="AU8" i="4"/>
  <c r="AU7" i="4"/>
  <c r="AU6" i="4"/>
  <c r="AU5" i="4"/>
  <c r="AU4" i="4"/>
  <c r="AJ62" i="8"/>
  <c r="AJ53" i="8"/>
  <c r="AJ46" i="8"/>
  <c r="AJ50" i="8" s="1"/>
  <c r="AJ39" i="8"/>
  <c r="AJ37" i="8"/>
  <c r="AJ29" i="8"/>
  <c r="AJ28" i="8"/>
  <c r="AJ27" i="8"/>
  <c r="AJ26" i="8"/>
  <c r="AJ25" i="8"/>
  <c r="AJ24" i="8"/>
  <c r="AJ23" i="8"/>
  <c r="AJ22" i="8"/>
  <c r="AJ21" i="8" s="1"/>
  <c r="AJ17" i="8"/>
  <c r="AJ16" i="8"/>
  <c r="AJ15" i="8"/>
  <c r="AJ14" i="8"/>
  <c r="AJ13" i="8"/>
  <c r="AJ12" i="8"/>
  <c r="AJ11" i="8"/>
  <c r="AJ10" i="8"/>
  <c r="AJ9" i="8"/>
  <c r="AJ8" i="8"/>
  <c r="AJ7" i="8" s="1"/>
  <c r="AJ6" i="8"/>
  <c r="AJ5" i="8"/>
  <c r="AI59" i="6"/>
  <c r="AI66" i="6" s="1"/>
  <c r="AI69" i="6" s="1"/>
  <c r="AI71" i="6" s="1"/>
  <c r="AI73" i="6" s="1"/>
  <c r="AI51" i="6"/>
  <c r="AI47" i="6"/>
  <c r="AI56" i="6" s="1"/>
  <c r="AI44" i="6"/>
  <c r="AI36" i="6"/>
  <c r="AI32" i="6"/>
  <c r="AI30" i="6"/>
  <c r="AI29" i="6"/>
  <c r="AI27" i="6"/>
  <c r="AI26" i="6"/>
  <c r="AI25" i="6"/>
  <c r="AI24" i="6"/>
  <c r="AI23" i="6"/>
  <c r="AI22" i="6"/>
  <c r="AI20" i="6"/>
  <c r="AI19" i="6"/>
  <c r="AI21" i="6" s="1"/>
  <c r="AI17" i="6"/>
  <c r="AI16" i="6"/>
  <c r="AI15" i="6"/>
  <c r="AI14" i="6"/>
  <c r="AI13" i="6"/>
  <c r="AI12" i="6"/>
  <c r="AI11" i="6"/>
  <c r="AI10" i="6"/>
  <c r="AI8" i="6"/>
  <c r="AI7" i="6"/>
  <c r="AI9" i="6" s="1"/>
  <c r="AI18" i="6" s="1"/>
  <c r="AI5" i="6"/>
  <c r="AI4" i="6"/>
  <c r="AI6" i="6" s="1"/>
  <c r="O18" i="19" l="1"/>
  <c r="M18" i="20"/>
  <c r="O18" i="21"/>
  <c r="M18" i="18"/>
  <c r="N18" i="18"/>
  <c r="N37" i="20"/>
  <c r="N18" i="20" s="1"/>
  <c r="O37" i="20"/>
  <c r="O18" i="20" s="1"/>
  <c r="M37" i="19"/>
  <c r="M18" i="19" s="1"/>
  <c r="K37" i="20"/>
  <c r="K18" i="20" s="1"/>
  <c r="M14" i="21"/>
  <c r="K37" i="19"/>
  <c r="K18" i="19" s="1"/>
  <c r="P37" i="20"/>
  <c r="P18" i="20" s="1"/>
  <c r="K37" i="21"/>
  <c r="K18" i="21" s="1"/>
  <c r="L37" i="21"/>
  <c r="L18" i="21" s="1"/>
  <c r="AU40" i="4"/>
  <c r="AJ30" i="8"/>
  <c r="AJ18" i="8"/>
  <c r="AI76" i="6"/>
  <c r="AI35" i="6"/>
  <c r="AI28" i="6"/>
  <c r="AI31" i="6" s="1"/>
  <c r="AI33" i="6" s="1"/>
  <c r="M18" i="21" l="1"/>
  <c r="N18" i="19"/>
  <c r="AT53" i="3" l="1"/>
  <c r="AT28" i="3" l="1"/>
  <c r="AT29" i="3"/>
  <c r="AT25" i="3"/>
  <c r="AT26" i="3"/>
  <c r="AE51" i="12"/>
  <c r="AE44" i="12"/>
  <c r="AE37" i="12"/>
  <c r="AE30" i="12"/>
  <c r="AE17" i="12"/>
  <c r="AE14" i="12"/>
  <c r="AE7" i="12"/>
  <c r="AE4" i="12"/>
  <c r="AT48" i="3"/>
  <c r="AT9" i="3"/>
  <c r="AT12" i="3" s="1"/>
  <c r="AT6" i="3"/>
  <c r="AT15" i="3"/>
  <c r="AT18" i="3"/>
  <c r="AT35" i="3"/>
  <c r="AH59" i="6"/>
  <c r="AH51" i="6"/>
  <c r="AH13" i="6" s="1"/>
  <c r="AH83" i="6"/>
  <c r="AH84" i="6"/>
  <c r="AT26" i="5"/>
  <c r="AT39" i="5" s="1"/>
  <c r="AT17" i="5"/>
  <c r="AT16" i="5"/>
  <c r="AT15" i="5"/>
  <c r="AT14" i="5"/>
  <c r="AT13" i="5"/>
  <c r="AT12" i="5"/>
  <c r="AT11" i="5"/>
  <c r="AT10" i="5"/>
  <c r="AT9" i="5"/>
  <c r="AT8" i="5"/>
  <c r="AT7" i="5"/>
  <c r="AT6" i="5"/>
  <c r="AT4" i="5"/>
  <c r="AT80" i="4"/>
  <c r="AT79" i="4"/>
  <c r="AT78" i="4"/>
  <c r="AT77" i="4"/>
  <c r="AT76" i="4"/>
  <c r="AT75" i="4"/>
  <c r="AT74" i="4"/>
  <c r="AT73" i="4"/>
  <c r="AT72" i="4"/>
  <c r="AT71" i="4"/>
  <c r="AT68" i="4"/>
  <c r="AT55" i="4"/>
  <c r="AT26" i="4"/>
  <c r="AT25" i="4"/>
  <c r="AT24" i="4"/>
  <c r="AT37" i="4" s="1"/>
  <c r="AT23" i="4"/>
  <c r="AT22" i="4"/>
  <c r="AT21" i="4"/>
  <c r="AT20" i="4"/>
  <c r="AT19" i="4"/>
  <c r="AT18" i="4"/>
  <c r="AT17" i="4"/>
  <c r="AT13" i="4"/>
  <c r="AT12" i="4"/>
  <c r="AT11" i="4"/>
  <c r="AT10" i="4"/>
  <c r="AT9" i="4"/>
  <c r="AT8" i="4"/>
  <c r="AT34" i="4" s="1"/>
  <c r="AT7" i="4"/>
  <c r="AT6" i="4"/>
  <c r="AT5" i="4"/>
  <c r="AT4" i="4"/>
  <c r="AI24" i="8"/>
  <c r="AI53" i="8"/>
  <c r="AI62" i="8" s="1"/>
  <c r="AI46" i="8"/>
  <c r="AI39" i="8"/>
  <c r="AI37" i="8"/>
  <c r="AI29" i="8"/>
  <c r="AI28" i="8"/>
  <c r="AI27" i="8"/>
  <c r="AI26" i="8"/>
  <c r="AI25" i="8"/>
  <c r="AI23" i="8"/>
  <c r="AI22" i="8"/>
  <c r="AI17" i="8"/>
  <c r="AI16" i="8"/>
  <c r="AI15" i="8"/>
  <c r="AI14" i="8"/>
  <c r="AI13" i="8"/>
  <c r="AI12" i="8"/>
  <c r="AI11" i="8"/>
  <c r="AI10" i="8"/>
  <c r="AI9" i="8"/>
  <c r="AI8" i="8"/>
  <c r="AI6" i="8"/>
  <c r="AI5" i="8" s="1"/>
  <c r="AG83" i="6"/>
  <c r="AH47" i="6"/>
  <c r="AH44" i="6"/>
  <c r="AH56" i="6" s="1"/>
  <c r="AH66" i="6" s="1"/>
  <c r="AH69" i="6" s="1"/>
  <c r="AH71" i="6" s="1"/>
  <c r="AH73" i="6" s="1"/>
  <c r="AH36" i="6"/>
  <c r="AH32" i="6"/>
  <c r="AH30" i="6"/>
  <c r="AH29" i="6"/>
  <c r="AH27" i="6"/>
  <c r="AH26" i="6"/>
  <c r="AH25" i="6"/>
  <c r="AH24" i="6"/>
  <c r="AH23" i="6"/>
  <c r="AH22" i="6"/>
  <c r="AH20" i="6"/>
  <c r="AH19" i="6"/>
  <c r="AH21" i="6" s="1"/>
  <c r="AH17" i="6"/>
  <c r="AH16" i="6"/>
  <c r="AH15" i="6"/>
  <c r="AH14" i="6"/>
  <c r="AH12" i="6"/>
  <c r="AH11" i="6"/>
  <c r="AH10" i="6"/>
  <c r="AH8" i="6"/>
  <c r="AH7" i="6"/>
  <c r="AH9" i="6" s="1"/>
  <c r="AH6" i="6"/>
  <c r="AH5" i="6"/>
  <c r="AH4" i="6"/>
  <c r="AD51" i="12"/>
  <c r="AD44" i="12"/>
  <c r="AD37" i="12"/>
  <c r="AD30" i="12"/>
  <c r="AD17" i="12"/>
  <c r="AD14" i="12"/>
  <c r="AD7" i="12"/>
  <c r="AD4" i="12"/>
  <c r="AT27" i="3" l="1"/>
  <c r="AT24" i="3"/>
  <c r="AE10" i="12"/>
  <c r="AE20" i="12"/>
  <c r="AT21" i="3"/>
  <c r="AT38" i="4"/>
  <c r="AT39" i="4"/>
  <c r="AT31" i="4"/>
  <c r="AT33" i="4"/>
  <c r="AT14" i="4"/>
  <c r="AT35" i="4"/>
  <c r="AT36" i="4"/>
  <c r="AT81" i="4"/>
  <c r="AT27" i="4"/>
  <c r="AT32" i="4"/>
  <c r="AH18" i="6"/>
  <c r="AH28" i="6" s="1"/>
  <c r="AH31" i="6" s="1"/>
  <c r="AH33" i="6" s="1"/>
  <c r="AH76" i="6"/>
  <c r="AH35" i="6"/>
  <c r="AT5" i="5"/>
  <c r="AT18" i="5" s="1"/>
  <c r="AT30" i="4"/>
  <c r="AI7" i="8"/>
  <c r="AI18" i="8" s="1"/>
  <c r="AI50" i="8"/>
  <c r="AI21" i="8"/>
  <c r="AI30" i="8" s="1"/>
  <c r="AD20" i="12"/>
  <c r="AD10" i="12"/>
  <c r="AT30" i="3" l="1"/>
  <c r="AT37" i="3" s="1"/>
  <c r="AT40" i="4"/>
  <c r="AS53" i="3"/>
  <c r="AS48" i="3"/>
  <c r="AS35" i="3"/>
  <c r="AS29" i="3"/>
  <c r="AS28" i="3"/>
  <c r="AS27" i="3"/>
  <c r="AS25" i="3"/>
  <c r="AS18" i="3"/>
  <c r="AS15" i="3"/>
  <c r="AS21" i="3" s="1"/>
  <c r="AS11" i="3"/>
  <c r="AS9" i="3"/>
  <c r="AS8" i="3"/>
  <c r="AS26" i="3" s="1"/>
  <c r="AS6" i="3"/>
  <c r="AS12" i="3" s="1"/>
  <c r="AS39" i="5"/>
  <c r="AR39" i="5"/>
  <c r="AQ39" i="5"/>
  <c r="AS26" i="5"/>
  <c r="AR26" i="5"/>
  <c r="AQ26" i="5"/>
  <c r="AS17" i="5"/>
  <c r="AR17" i="5"/>
  <c r="AQ17" i="5"/>
  <c r="AS16" i="5"/>
  <c r="AR16" i="5"/>
  <c r="AQ16" i="5"/>
  <c r="AS15" i="5"/>
  <c r="AR15" i="5"/>
  <c r="AQ15" i="5"/>
  <c r="AS14" i="5"/>
  <c r="AR14" i="5"/>
  <c r="AQ14" i="5"/>
  <c r="AS13" i="5"/>
  <c r="AR13" i="5"/>
  <c r="AQ13" i="5"/>
  <c r="AS12" i="5"/>
  <c r="AR12" i="5"/>
  <c r="AQ12" i="5"/>
  <c r="AS11" i="5"/>
  <c r="AR11" i="5"/>
  <c r="AQ11" i="5"/>
  <c r="AS10" i="5"/>
  <c r="AR10" i="5"/>
  <c r="AQ10" i="5"/>
  <c r="AS9" i="5"/>
  <c r="AR9" i="5"/>
  <c r="AQ9" i="5"/>
  <c r="AS8" i="5"/>
  <c r="AR8" i="5"/>
  <c r="AQ8" i="5"/>
  <c r="AS7" i="5"/>
  <c r="AR7" i="5"/>
  <c r="AQ7" i="5"/>
  <c r="AS6" i="5"/>
  <c r="AR6" i="5"/>
  <c r="AQ6" i="5"/>
  <c r="AQ5" i="5" s="1"/>
  <c r="AQ18" i="5" s="1"/>
  <c r="AR5" i="5"/>
  <c r="AR18" i="5" s="1"/>
  <c r="AS4" i="5"/>
  <c r="AR4" i="5"/>
  <c r="AQ4" i="5"/>
  <c r="AS80" i="4"/>
  <c r="AR80" i="4"/>
  <c r="AQ80" i="4"/>
  <c r="AS79" i="4"/>
  <c r="AR79" i="4"/>
  <c r="AQ79" i="4"/>
  <c r="AS78" i="4"/>
  <c r="AR78" i="4"/>
  <c r="AQ78" i="4"/>
  <c r="AS77" i="4"/>
  <c r="AR77" i="4"/>
  <c r="AQ77" i="4"/>
  <c r="AS76" i="4"/>
  <c r="AR76" i="4"/>
  <c r="AQ76" i="4"/>
  <c r="AS75" i="4"/>
  <c r="AR75" i="4"/>
  <c r="AQ75" i="4"/>
  <c r="AS74" i="4"/>
  <c r="AR74" i="4"/>
  <c r="AQ74" i="4"/>
  <c r="AS73" i="4"/>
  <c r="AR73" i="4"/>
  <c r="AQ73" i="4"/>
  <c r="AS72" i="4"/>
  <c r="AR72" i="4"/>
  <c r="AQ72" i="4"/>
  <c r="AS71" i="4"/>
  <c r="AR71" i="4"/>
  <c r="AQ71" i="4"/>
  <c r="AS68" i="4"/>
  <c r="AR68" i="4"/>
  <c r="AQ68" i="4"/>
  <c r="AS55" i="4"/>
  <c r="AR55" i="4"/>
  <c r="AQ55" i="4"/>
  <c r="AR31" i="4"/>
  <c r="AQ31" i="4"/>
  <c r="AS26" i="4"/>
  <c r="AR26" i="4"/>
  <c r="AQ26" i="4"/>
  <c r="AS25" i="4"/>
  <c r="AR25" i="4"/>
  <c r="AQ25" i="4"/>
  <c r="AS24" i="4"/>
  <c r="AR24" i="4"/>
  <c r="AQ24" i="4"/>
  <c r="AS23" i="4"/>
  <c r="AR23" i="4"/>
  <c r="AQ23" i="4"/>
  <c r="AS22" i="4"/>
  <c r="AR22" i="4"/>
  <c r="AQ22" i="4"/>
  <c r="AS21" i="4"/>
  <c r="AR21" i="4"/>
  <c r="AQ21" i="4"/>
  <c r="AS20" i="4"/>
  <c r="AR20" i="4"/>
  <c r="AQ20" i="4"/>
  <c r="AS19" i="4"/>
  <c r="AR19" i="4"/>
  <c r="AQ19" i="4"/>
  <c r="AS18" i="4"/>
  <c r="AR18" i="4"/>
  <c r="AQ18" i="4"/>
  <c r="AS17" i="4"/>
  <c r="AR17" i="4"/>
  <c r="AR27" i="4" s="1"/>
  <c r="AQ17" i="4"/>
  <c r="AS13" i="4"/>
  <c r="AS39" i="4" s="1"/>
  <c r="AR13" i="4"/>
  <c r="AR39" i="4" s="1"/>
  <c r="AQ13" i="4"/>
  <c r="AQ39" i="4" s="1"/>
  <c r="AS12" i="4"/>
  <c r="AS38" i="4" s="1"/>
  <c r="AR12" i="4"/>
  <c r="AR38" i="4" s="1"/>
  <c r="AQ12" i="4"/>
  <c r="AQ38" i="4" s="1"/>
  <c r="AS11" i="4"/>
  <c r="AS37" i="4" s="1"/>
  <c r="AR11" i="4"/>
  <c r="AR37" i="4" s="1"/>
  <c r="AQ11" i="4"/>
  <c r="AQ37" i="4" s="1"/>
  <c r="AS10" i="4"/>
  <c r="AS36" i="4" s="1"/>
  <c r="AR10" i="4"/>
  <c r="AR36" i="4" s="1"/>
  <c r="AQ10" i="4"/>
  <c r="AS9" i="4"/>
  <c r="AR9" i="4"/>
  <c r="AR35" i="4" s="1"/>
  <c r="AQ9" i="4"/>
  <c r="AQ35" i="4" s="1"/>
  <c r="AS8" i="4"/>
  <c r="AS34" i="4" s="1"/>
  <c r="AR8" i="4"/>
  <c r="AR34" i="4" s="1"/>
  <c r="AQ8" i="4"/>
  <c r="AQ34" i="4" s="1"/>
  <c r="AS7" i="4"/>
  <c r="AS33" i="4" s="1"/>
  <c r="AR7" i="4"/>
  <c r="AQ7" i="4"/>
  <c r="AS6" i="4"/>
  <c r="AS32" i="4" s="1"/>
  <c r="AR6" i="4"/>
  <c r="AR32" i="4" s="1"/>
  <c r="AQ6" i="4"/>
  <c r="AS5" i="4"/>
  <c r="AS31" i="4" s="1"/>
  <c r="AR5" i="4"/>
  <c r="AQ5" i="4"/>
  <c r="AS4" i="4"/>
  <c r="AS30" i="4" s="1"/>
  <c r="AR4" i="4"/>
  <c r="AQ4" i="4"/>
  <c r="AQ30" i="4" s="1"/>
  <c r="AH53" i="8"/>
  <c r="AH62" i="8" s="1"/>
  <c r="AG53" i="8"/>
  <c r="AG62" i="8" s="1"/>
  <c r="AF53" i="8"/>
  <c r="AF62" i="8" s="1"/>
  <c r="AH46" i="8"/>
  <c r="AG46" i="8"/>
  <c r="AF46" i="8"/>
  <c r="AH39" i="8"/>
  <c r="AG39" i="8"/>
  <c r="AF39" i="8"/>
  <c r="AH37" i="8"/>
  <c r="AG37" i="8"/>
  <c r="AF37" i="8"/>
  <c r="AH29" i="8"/>
  <c r="AG29" i="8"/>
  <c r="AF29" i="8"/>
  <c r="AH28" i="8"/>
  <c r="AG28" i="8"/>
  <c r="AF28" i="8"/>
  <c r="AH27" i="8"/>
  <c r="AG27" i="8"/>
  <c r="AF27" i="8"/>
  <c r="AH26" i="8"/>
  <c r="AG26" i="8"/>
  <c r="AF26" i="8"/>
  <c r="AH25" i="8"/>
  <c r="AG25" i="8"/>
  <c r="AG21" i="8" s="1"/>
  <c r="AF25" i="8"/>
  <c r="AH24" i="8"/>
  <c r="AG24" i="8"/>
  <c r="AF24" i="8"/>
  <c r="AH23" i="8"/>
  <c r="AG23" i="8"/>
  <c r="AF23" i="8"/>
  <c r="AF21" i="8" s="1"/>
  <c r="AH22" i="8"/>
  <c r="AH21" i="8" s="1"/>
  <c r="AG22" i="8"/>
  <c r="AF22" i="8"/>
  <c r="AH17" i="8"/>
  <c r="AG17" i="8"/>
  <c r="AF17" i="8"/>
  <c r="AH16" i="8"/>
  <c r="AG16" i="8"/>
  <c r="AF16" i="8"/>
  <c r="AH15" i="8"/>
  <c r="AH14" i="8" s="1"/>
  <c r="AG15" i="8"/>
  <c r="AF15" i="8"/>
  <c r="AH13" i="8"/>
  <c r="AG13" i="8"/>
  <c r="AF13" i="8"/>
  <c r="AH12" i="8"/>
  <c r="AG12" i="8"/>
  <c r="AF12" i="8"/>
  <c r="AH11" i="8"/>
  <c r="AG11" i="8"/>
  <c r="AF11" i="8"/>
  <c r="AH10" i="8"/>
  <c r="AH7" i="8" s="1"/>
  <c r="AG10" i="8"/>
  <c r="AF10" i="8"/>
  <c r="AH9" i="8"/>
  <c r="AG9" i="8"/>
  <c r="AF9" i="8"/>
  <c r="AH8" i="8"/>
  <c r="AG8" i="8"/>
  <c r="AG7" i="8" s="1"/>
  <c r="AF8" i="8"/>
  <c r="AF7" i="8" s="1"/>
  <c r="AH6" i="8"/>
  <c r="AH5" i="8" s="1"/>
  <c r="AG6" i="8"/>
  <c r="AF6" i="8"/>
  <c r="AF5" i="8" s="1"/>
  <c r="AG5" i="8"/>
  <c r="AF83" i="6"/>
  <c r="AG59" i="6"/>
  <c r="AF59" i="6"/>
  <c r="AF66" i="6" s="1"/>
  <c r="AF69" i="6" s="1"/>
  <c r="AF71" i="6" s="1"/>
  <c r="AF73" i="6" s="1"/>
  <c r="AE59" i="6"/>
  <c r="AE66" i="6" s="1"/>
  <c r="AE69" i="6" s="1"/>
  <c r="AE71" i="6" s="1"/>
  <c r="AE73" i="6" s="1"/>
  <c r="AG56" i="6"/>
  <c r="AG66" i="6" s="1"/>
  <c r="AG69" i="6" s="1"/>
  <c r="AG71" i="6" s="1"/>
  <c r="AG73" i="6" s="1"/>
  <c r="AF56" i="6"/>
  <c r="AE56" i="6"/>
  <c r="AG51" i="6"/>
  <c r="AF51" i="6"/>
  <c r="AE51" i="6"/>
  <c r="AG47" i="6"/>
  <c r="AF47" i="6"/>
  <c r="AE47" i="6"/>
  <c r="AG44" i="6"/>
  <c r="AG84" i="6" s="1"/>
  <c r="AF44" i="6"/>
  <c r="AF84" i="6" s="1"/>
  <c r="AE44" i="6"/>
  <c r="AG36" i="6"/>
  <c r="AF36" i="6"/>
  <c r="AE36" i="6"/>
  <c r="AG32" i="6"/>
  <c r="AF32" i="6"/>
  <c r="AE32" i="6"/>
  <c r="AG30" i="6"/>
  <c r="AF30" i="6"/>
  <c r="AE30" i="6"/>
  <c r="AG29" i="6"/>
  <c r="AF29" i="6"/>
  <c r="AE29" i="6"/>
  <c r="AG27" i="6"/>
  <c r="AF27" i="6"/>
  <c r="AE27" i="6"/>
  <c r="AG26" i="6"/>
  <c r="AF26" i="6"/>
  <c r="AE26" i="6"/>
  <c r="AG25" i="6"/>
  <c r="AF25" i="6"/>
  <c r="AE25" i="6"/>
  <c r="AG24" i="6"/>
  <c r="AF24" i="6"/>
  <c r="AE24" i="6"/>
  <c r="AG23" i="6"/>
  <c r="AF23" i="6"/>
  <c r="AE23" i="6"/>
  <c r="AG22" i="6"/>
  <c r="AF22" i="6"/>
  <c r="AE22" i="6"/>
  <c r="AG20" i="6"/>
  <c r="AF20" i="6"/>
  <c r="AE20" i="6"/>
  <c r="AG19" i="6"/>
  <c r="AG21" i="6" s="1"/>
  <c r="AF19" i="6"/>
  <c r="AF21" i="6" s="1"/>
  <c r="AE19" i="6"/>
  <c r="AE21" i="6" s="1"/>
  <c r="AG17" i="6"/>
  <c r="AF17" i="6"/>
  <c r="AE17" i="6"/>
  <c r="AG16" i="6"/>
  <c r="AF16" i="6"/>
  <c r="AE16" i="6"/>
  <c r="AG15" i="6"/>
  <c r="AF15" i="6"/>
  <c r="AE15" i="6"/>
  <c r="AG14" i="6"/>
  <c r="AF14" i="6"/>
  <c r="AE14" i="6"/>
  <c r="AG13" i="6"/>
  <c r="AF13" i="6"/>
  <c r="AE13" i="6"/>
  <c r="AG12" i="6"/>
  <c r="AF12" i="6"/>
  <c r="AE12" i="6"/>
  <c r="AG11" i="6"/>
  <c r="AF11" i="6"/>
  <c r="AE11" i="6"/>
  <c r="AG10" i="6"/>
  <c r="AF10" i="6"/>
  <c r="AE10" i="6"/>
  <c r="AG8" i="6"/>
  <c r="AF8" i="6"/>
  <c r="AE8" i="6"/>
  <c r="AG7" i="6"/>
  <c r="AF7" i="6"/>
  <c r="AE7" i="6"/>
  <c r="AG5" i="6"/>
  <c r="AF5" i="6"/>
  <c r="AE5" i="6"/>
  <c r="AG4" i="6"/>
  <c r="AG6" i="6" s="1"/>
  <c r="AF4" i="6"/>
  <c r="AF6" i="6" s="1"/>
  <c r="AE4" i="6"/>
  <c r="AE6" i="6" s="1"/>
  <c r="AS5" i="5" l="1"/>
  <c r="AS18" i="5" s="1"/>
  <c r="AR30" i="4"/>
  <c r="AQ14" i="4"/>
  <c r="AQ27" i="4"/>
  <c r="AS27" i="4"/>
  <c r="AQ33" i="4"/>
  <c r="AS35" i="4"/>
  <c r="AS40" i="4" s="1"/>
  <c r="AR33" i="4"/>
  <c r="AR40" i="4" s="1"/>
  <c r="AQ36" i="4"/>
  <c r="AQ81" i="4"/>
  <c r="AS81" i="4"/>
  <c r="AR81" i="4"/>
  <c r="AF14" i="8"/>
  <c r="AG14" i="8"/>
  <c r="AG18" i="8" s="1"/>
  <c r="AF30" i="8"/>
  <c r="AG30" i="8"/>
  <c r="AH30" i="8"/>
  <c r="AG50" i="8"/>
  <c r="AH50" i="8"/>
  <c r="AF50" i="8"/>
  <c r="AE9" i="6"/>
  <c r="AF9" i="6"/>
  <c r="AF18" i="6" s="1"/>
  <c r="AF28" i="6" s="1"/>
  <c r="AF31" i="6" s="1"/>
  <c r="AF33" i="6" s="1"/>
  <c r="AG9" i="6"/>
  <c r="AG18" i="6" s="1"/>
  <c r="AG28" i="6" s="1"/>
  <c r="AG31" i="6" s="1"/>
  <c r="AG33" i="6" s="1"/>
  <c r="AS24" i="3"/>
  <c r="AS30" i="3" s="1"/>
  <c r="AS37" i="3" s="1"/>
  <c r="AQ40" i="4"/>
  <c r="AR14" i="4"/>
  <c r="AQ32" i="4"/>
  <c r="AS14" i="4"/>
  <c r="AH18" i="8"/>
  <c r="AF18" i="8"/>
  <c r="AE35" i="6"/>
  <c r="AE76" i="6"/>
  <c r="AF35" i="6"/>
  <c r="AF76" i="6"/>
  <c r="AG35" i="6"/>
  <c r="AG76" i="6"/>
  <c r="AE18" i="6"/>
  <c r="AE28" i="6" s="1"/>
  <c r="AE31" i="6" s="1"/>
  <c r="AE33" i="6" s="1"/>
  <c r="AR53" i="3"/>
  <c r="AC51" i="12" l="1"/>
  <c r="AC44" i="12"/>
  <c r="AC37" i="12"/>
  <c r="AC30" i="12"/>
  <c r="AC17" i="12"/>
  <c r="AC14" i="12"/>
  <c r="AC7" i="12"/>
  <c r="AC4" i="12"/>
  <c r="AR48" i="3"/>
  <c r="AR35" i="3"/>
  <c r="AR29" i="3"/>
  <c r="AR28" i="3"/>
  <c r="AR27" i="3"/>
  <c r="AR26" i="3"/>
  <c r="AR25" i="3"/>
  <c r="AR24" i="3"/>
  <c r="AR30" i="3" s="1"/>
  <c r="AR18" i="3"/>
  <c r="AR21" i="3" s="1"/>
  <c r="AR15" i="3"/>
  <c r="AR9" i="3"/>
  <c r="AR6" i="3"/>
  <c r="AR12" i="3" s="1"/>
  <c r="AC10" i="12" l="1"/>
  <c r="AC20" i="12"/>
  <c r="AR37" i="3"/>
  <c r="AQ9" i="3" l="1"/>
  <c r="AQ6" i="3"/>
  <c r="AQ12" i="3" s="1"/>
  <c r="AQ53" i="3"/>
  <c r="AB44" i="12" l="1"/>
  <c r="AB51" i="12"/>
  <c r="AB37" i="12"/>
  <c r="AB30" i="12"/>
  <c r="AB17" i="12" l="1"/>
  <c r="AB14" i="12"/>
  <c r="AB7" i="12"/>
  <c r="AB4" i="12"/>
  <c r="AQ48" i="3"/>
  <c r="AQ15" i="3"/>
  <c r="AQ18" i="3"/>
  <c r="AQ25" i="3"/>
  <c r="AQ28" i="3"/>
  <c r="AQ29" i="3"/>
  <c r="AQ35" i="3"/>
  <c r="AB10" i="12" l="1"/>
  <c r="AB20" i="12"/>
  <c r="AQ26" i="3"/>
  <c r="AQ24" i="3" s="1"/>
  <c r="AQ27" i="3"/>
  <c r="AQ21" i="3"/>
  <c r="AQ30" i="3" l="1"/>
  <c r="AQ37" i="3" s="1"/>
  <c r="AA51" i="12" l="1"/>
  <c r="AA44" i="12"/>
  <c r="AA37" i="12"/>
  <c r="AA30" i="12"/>
  <c r="AA17" i="12"/>
  <c r="AA14" i="12"/>
  <c r="AA7" i="12"/>
  <c r="AA10" i="12" s="1"/>
  <c r="AA4" i="12"/>
  <c r="AP53" i="3"/>
  <c r="AP48" i="3"/>
  <c r="AP35" i="3"/>
  <c r="AP29" i="3"/>
  <c r="AP28" i="3"/>
  <c r="AP27" i="3" s="1"/>
  <c r="AP25" i="3"/>
  <c r="AP18" i="3"/>
  <c r="AP21" i="3" s="1"/>
  <c r="AP15" i="3"/>
  <c r="AP11" i="3"/>
  <c r="AP9" i="3" s="1"/>
  <c r="AP8" i="3"/>
  <c r="AP26" i="3" s="1"/>
  <c r="AP26" i="5"/>
  <c r="AP39" i="5" s="1"/>
  <c r="AP17" i="5"/>
  <c r="AP16" i="5"/>
  <c r="AP15" i="5"/>
  <c r="AP14" i="5"/>
  <c r="AP13" i="5"/>
  <c r="AP12" i="5"/>
  <c r="AP11" i="5"/>
  <c r="AP10" i="5"/>
  <c r="AP9" i="5"/>
  <c r="AP8" i="5"/>
  <c r="AP7" i="5"/>
  <c r="AP6" i="5"/>
  <c r="AP4" i="5"/>
  <c r="AP80" i="4"/>
  <c r="AO80" i="4"/>
  <c r="AN80" i="4"/>
  <c r="AM80" i="4"/>
  <c r="AL80" i="4"/>
  <c r="AK80" i="4"/>
  <c r="AJ80" i="4"/>
  <c r="AI80" i="4"/>
  <c r="AP79" i="4"/>
  <c r="AO79" i="4"/>
  <c r="AN79" i="4"/>
  <c r="AM79" i="4"/>
  <c r="AL79" i="4"/>
  <c r="AK79" i="4"/>
  <c r="AJ79" i="4"/>
  <c r="AI79" i="4"/>
  <c r="AP78" i="4"/>
  <c r="AO78" i="4"/>
  <c r="AN78" i="4"/>
  <c r="AM78" i="4"/>
  <c r="AL78" i="4"/>
  <c r="AK78" i="4"/>
  <c r="AJ78" i="4"/>
  <c r="AI78" i="4"/>
  <c r="AP77" i="4"/>
  <c r="AO77" i="4"/>
  <c r="AN77" i="4"/>
  <c r="AM77" i="4"/>
  <c r="AL77" i="4"/>
  <c r="AK77" i="4"/>
  <c r="AJ77" i="4"/>
  <c r="AI77" i="4"/>
  <c r="AP76" i="4"/>
  <c r="AO76" i="4"/>
  <c r="AN76" i="4"/>
  <c r="AM76" i="4"/>
  <c r="AL76" i="4"/>
  <c r="AK76" i="4"/>
  <c r="AJ76" i="4"/>
  <c r="AI76" i="4"/>
  <c r="AP75" i="4"/>
  <c r="AO75" i="4"/>
  <c r="AN75" i="4"/>
  <c r="AM75" i="4"/>
  <c r="AL75" i="4"/>
  <c r="AK75" i="4"/>
  <c r="AJ75" i="4"/>
  <c r="AI75" i="4"/>
  <c r="AP74" i="4"/>
  <c r="AO74" i="4"/>
  <c r="AN74" i="4"/>
  <c r="AM74" i="4"/>
  <c r="AL74" i="4"/>
  <c r="AK74" i="4"/>
  <c r="AJ74" i="4"/>
  <c r="AI74" i="4"/>
  <c r="AP73" i="4"/>
  <c r="AO73" i="4"/>
  <c r="AN73" i="4"/>
  <c r="AM73" i="4"/>
  <c r="AL73" i="4"/>
  <c r="AK73" i="4"/>
  <c r="AJ73" i="4"/>
  <c r="AI73" i="4"/>
  <c r="AP72" i="4"/>
  <c r="AO72" i="4"/>
  <c r="AN72" i="4"/>
  <c r="AM72" i="4"/>
  <c r="AL72" i="4"/>
  <c r="AK72" i="4"/>
  <c r="AJ72" i="4"/>
  <c r="AI72" i="4"/>
  <c r="AP71" i="4"/>
  <c r="AO71" i="4"/>
  <c r="AN71" i="4"/>
  <c r="AM71" i="4"/>
  <c r="AL71" i="4"/>
  <c r="AK71" i="4"/>
  <c r="AJ71" i="4"/>
  <c r="AI71" i="4"/>
  <c r="AP68" i="4"/>
  <c r="AO68" i="4"/>
  <c r="AN68" i="4"/>
  <c r="AM68" i="4"/>
  <c r="AL68" i="4"/>
  <c r="AK68" i="4"/>
  <c r="AJ68" i="4"/>
  <c r="AI68" i="4"/>
  <c r="AP55" i="4"/>
  <c r="AO55" i="4"/>
  <c r="AN55" i="4"/>
  <c r="AM55" i="4"/>
  <c r="AL55" i="4"/>
  <c r="AK55" i="4"/>
  <c r="AJ55" i="4"/>
  <c r="AI55" i="4"/>
  <c r="AP26" i="4"/>
  <c r="AO26" i="4"/>
  <c r="AN26" i="4"/>
  <c r="AM26" i="4"/>
  <c r="AL26" i="4"/>
  <c r="AK26" i="4"/>
  <c r="AJ26" i="4"/>
  <c r="AI26" i="4"/>
  <c r="AP25" i="4"/>
  <c r="AO25" i="4"/>
  <c r="AN25" i="4"/>
  <c r="AM25" i="4"/>
  <c r="AL25" i="4"/>
  <c r="AK25" i="4"/>
  <c r="AJ25" i="4"/>
  <c r="AI25" i="4"/>
  <c r="AP24" i="4"/>
  <c r="AO24" i="4"/>
  <c r="AN24" i="4"/>
  <c r="AM24" i="4"/>
  <c r="AL24" i="4"/>
  <c r="AK24" i="4"/>
  <c r="AJ24" i="4"/>
  <c r="AI24" i="4"/>
  <c r="AP23" i="4"/>
  <c r="AO23" i="4"/>
  <c r="AN23" i="4"/>
  <c r="AM23" i="4"/>
  <c r="AL23" i="4"/>
  <c r="AK23" i="4"/>
  <c r="AJ23" i="4"/>
  <c r="AI23" i="4"/>
  <c r="AP22" i="4"/>
  <c r="AO22" i="4"/>
  <c r="AN22" i="4"/>
  <c r="AM22" i="4"/>
  <c r="AL22" i="4"/>
  <c r="AK22" i="4"/>
  <c r="AJ22" i="4"/>
  <c r="AI22" i="4"/>
  <c r="AP21" i="4"/>
  <c r="AO21" i="4"/>
  <c r="AN21" i="4"/>
  <c r="AM21" i="4"/>
  <c r="AL21" i="4"/>
  <c r="AK21" i="4"/>
  <c r="AJ21" i="4"/>
  <c r="AI21" i="4"/>
  <c r="AP20" i="4"/>
  <c r="AO20" i="4"/>
  <c r="AN20" i="4"/>
  <c r="AM20" i="4"/>
  <c r="AL20" i="4"/>
  <c r="AK20" i="4"/>
  <c r="AJ20" i="4"/>
  <c r="AI20" i="4"/>
  <c r="AP19" i="4"/>
  <c r="AO19" i="4"/>
  <c r="AN19" i="4"/>
  <c r="AM19" i="4"/>
  <c r="AL19" i="4"/>
  <c r="AK19" i="4"/>
  <c r="AJ19" i="4"/>
  <c r="AI19" i="4"/>
  <c r="AP18" i="4"/>
  <c r="AO18" i="4"/>
  <c r="AN18" i="4"/>
  <c r="AM18" i="4"/>
  <c r="AL18" i="4"/>
  <c r="AK18" i="4"/>
  <c r="AJ18" i="4"/>
  <c r="AI18" i="4"/>
  <c r="AP17" i="4"/>
  <c r="AO17" i="4"/>
  <c r="AN17" i="4"/>
  <c r="AM17" i="4"/>
  <c r="AL17" i="4"/>
  <c r="AK17" i="4"/>
  <c r="AJ17" i="4"/>
  <c r="AI17" i="4"/>
  <c r="AP13" i="4"/>
  <c r="AO13" i="4"/>
  <c r="AO39" i="4" s="1"/>
  <c r="AN13" i="4"/>
  <c r="AM13" i="4"/>
  <c r="AL13" i="4"/>
  <c r="AK13" i="4"/>
  <c r="AK39" i="4" s="1"/>
  <c r="AJ13" i="4"/>
  <c r="AI13" i="4"/>
  <c r="AP12" i="4"/>
  <c r="AO12" i="4"/>
  <c r="AN12" i="4"/>
  <c r="AM12" i="4"/>
  <c r="AL12" i="4"/>
  <c r="AL38" i="4" s="1"/>
  <c r="AK12" i="4"/>
  <c r="AK38" i="4" s="1"/>
  <c r="AJ12" i="4"/>
  <c r="AI12" i="4"/>
  <c r="AP11" i="4"/>
  <c r="AO11" i="4"/>
  <c r="AO37" i="4" s="1"/>
  <c r="AN11" i="4"/>
  <c r="AM11" i="4"/>
  <c r="AL11" i="4"/>
  <c r="AK11" i="4"/>
  <c r="AJ11" i="4"/>
  <c r="AI11" i="4"/>
  <c r="AP10" i="4"/>
  <c r="AO10" i="4"/>
  <c r="AO36" i="4" s="1"/>
  <c r="AN10" i="4"/>
  <c r="AM10" i="4"/>
  <c r="AL10" i="4"/>
  <c r="AK10" i="4"/>
  <c r="AK36" i="4" s="1"/>
  <c r="AJ10" i="4"/>
  <c r="AI10" i="4"/>
  <c r="AP9" i="4"/>
  <c r="AO9" i="4"/>
  <c r="AN9" i="4"/>
  <c r="AM9" i="4"/>
  <c r="AM35" i="4" s="1"/>
  <c r="AL9" i="4"/>
  <c r="AL35" i="4" s="1"/>
  <c r="AK9" i="4"/>
  <c r="AK35" i="4" s="1"/>
  <c r="AJ9" i="4"/>
  <c r="AI9" i="4"/>
  <c r="AP8" i="4"/>
  <c r="AO8" i="4"/>
  <c r="AO34" i="4" s="1"/>
  <c r="AN8" i="4"/>
  <c r="AM8" i="4"/>
  <c r="AL8" i="4"/>
  <c r="AK8" i="4"/>
  <c r="AJ8" i="4"/>
  <c r="AI8" i="4"/>
  <c r="AP7" i="4"/>
  <c r="AO7" i="4"/>
  <c r="AO33" i="4" s="1"/>
  <c r="AN7" i="4"/>
  <c r="AM7" i="4"/>
  <c r="AL7" i="4"/>
  <c r="AK7" i="4"/>
  <c r="AK33" i="4" s="1"/>
  <c r="AJ7" i="4"/>
  <c r="AI7" i="4"/>
  <c r="AP6" i="4"/>
  <c r="AO6" i="4"/>
  <c r="AN6" i="4"/>
  <c r="AM6" i="4"/>
  <c r="AL6" i="4"/>
  <c r="AK6" i="4"/>
  <c r="AK32" i="4" s="1"/>
  <c r="AJ6" i="4"/>
  <c r="AI6" i="4"/>
  <c r="AP5" i="4"/>
  <c r="AO5" i="4"/>
  <c r="AN5" i="4"/>
  <c r="AM5" i="4"/>
  <c r="AL5" i="4"/>
  <c r="AK5" i="4"/>
  <c r="AJ5" i="4"/>
  <c r="AI5" i="4"/>
  <c r="AP4" i="4"/>
  <c r="AO4" i="4"/>
  <c r="AO30" i="4" s="1"/>
  <c r="AN4" i="4"/>
  <c r="AM4" i="4"/>
  <c r="AL4" i="4"/>
  <c r="AK4" i="4"/>
  <c r="AK30" i="4" s="1"/>
  <c r="AJ4" i="4"/>
  <c r="AI4" i="4"/>
  <c r="Z62" i="8"/>
  <c r="AE53" i="8"/>
  <c r="AE62" i="8" s="1"/>
  <c r="AD53" i="8"/>
  <c r="AD62" i="8" s="1"/>
  <c r="AC53" i="8"/>
  <c r="AC62" i="8" s="1"/>
  <c r="AB53" i="8"/>
  <c r="AB62" i="8" s="1"/>
  <c r="AA53" i="8"/>
  <c r="AA62" i="8" s="1"/>
  <c r="Z53" i="8"/>
  <c r="Y53" i="8"/>
  <c r="Y62" i="8" s="1"/>
  <c r="X53" i="8"/>
  <c r="X62" i="8" s="1"/>
  <c r="AE46" i="8"/>
  <c r="AD46" i="8"/>
  <c r="AC46" i="8"/>
  <c r="AB46" i="8"/>
  <c r="AA46" i="8"/>
  <c r="Z46" i="8"/>
  <c r="Y46" i="8"/>
  <c r="X46" i="8"/>
  <c r="AA43" i="8"/>
  <c r="AA11" i="8" s="1"/>
  <c r="Z41" i="8"/>
  <c r="AA9" i="8" s="1"/>
  <c r="AA40" i="8"/>
  <c r="AA8" i="8" s="1"/>
  <c r="AE39" i="8"/>
  <c r="AD39" i="8"/>
  <c r="AC39" i="8"/>
  <c r="AB39" i="8"/>
  <c r="Y39" i="8"/>
  <c r="X39" i="8"/>
  <c r="AE37" i="8"/>
  <c r="AD37" i="8"/>
  <c r="AC37" i="8"/>
  <c r="AB37" i="8"/>
  <c r="AA37" i="8"/>
  <c r="Z37" i="8"/>
  <c r="Y37" i="8"/>
  <c r="X37" i="8"/>
  <c r="AE29" i="8"/>
  <c r="AD29" i="8"/>
  <c r="AC29" i="8"/>
  <c r="AB29" i="8"/>
  <c r="AA29" i="8"/>
  <c r="Z29" i="8"/>
  <c r="Y29" i="8"/>
  <c r="X29" i="8"/>
  <c r="AE28" i="8"/>
  <c r="AD28" i="8"/>
  <c r="AC28" i="8"/>
  <c r="AB28" i="8"/>
  <c r="AA28" i="8"/>
  <c r="Z28" i="8"/>
  <c r="Y28" i="8"/>
  <c r="X28" i="8"/>
  <c r="AE27" i="8"/>
  <c r="AD27" i="8"/>
  <c r="AC27" i="8"/>
  <c r="AB27" i="8"/>
  <c r="AA27" i="8"/>
  <c r="Z27" i="8"/>
  <c r="Y27" i="8"/>
  <c r="X27" i="8"/>
  <c r="AE26" i="8"/>
  <c r="AD26" i="8"/>
  <c r="AC26" i="8"/>
  <c r="AB26" i="8"/>
  <c r="AA26" i="8"/>
  <c r="Z26" i="8"/>
  <c r="Y26" i="8"/>
  <c r="X26" i="8"/>
  <c r="AE25" i="8"/>
  <c r="AD25" i="8"/>
  <c r="AC25" i="8"/>
  <c r="AB25" i="8"/>
  <c r="AA25" i="8"/>
  <c r="Z25" i="8"/>
  <c r="Y25" i="8"/>
  <c r="X25" i="8"/>
  <c r="AE24" i="8"/>
  <c r="AD24" i="8"/>
  <c r="AC24" i="8"/>
  <c r="AB24" i="8"/>
  <c r="AA24" i="8"/>
  <c r="Z24" i="8"/>
  <c r="Y24" i="8"/>
  <c r="X24" i="8"/>
  <c r="AE23" i="8"/>
  <c r="AD23" i="8"/>
  <c r="AC23" i="8"/>
  <c r="AB23" i="8"/>
  <c r="AA23" i="8"/>
  <c r="Z23" i="8"/>
  <c r="Y23" i="8"/>
  <c r="X23" i="8"/>
  <c r="AE22" i="8"/>
  <c r="AD22" i="8"/>
  <c r="AC22" i="8"/>
  <c r="AB22" i="8"/>
  <c r="AA22" i="8"/>
  <c r="Z22" i="8"/>
  <c r="Y22" i="8"/>
  <c r="X22" i="8"/>
  <c r="AE17" i="8"/>
  <c r="AD17" i="8"/>
  <c r="AC17" i="8"/>
  <c r="AB17" i="8"/>
  <c r="AA17" i="8"/>
  <c r="Z17" i="8"/>
  <c r="Y17" i="8"/>
  <c r="X17" i="8"/>
  <c r="AE16" i="8"/>
  <c r="AD16" i="8"/>
  <c r="AC16" i="8"/>
  <c r="AB16" i="8"/>
  <c r="AA16" i="8"/>
  <c r="Z16" i="8"/>
  <c r="Y16" i="8"/>
  <c r="X16" i="8"/>
  <c r="AE15" i="8"/>
  <c r="AD15" i="8"/>
  <c r="AC15" i="8"/>
  <c r="AB15" i="8"/>
  <c r="AA15" i="8"/>
  <c r="Z15" i="8"/>
  <c r="Y15" i="8"/>
  <c r="X15" i="8"/>
  <c r="AE13" i="8"/>
  <c r="AD13" i="8"/>
  <c r="AC13" i="8"/>
  <c r="AB13" i="8"/>
  <c r="AA13" i="8"/>
  <c r="Z13" i="8"/>
  <c r="Y13" i="8"/>
  <c r="X13" i="8"/>
  <c r="AE12" i="8"/>
  <c r="AD12" i="8"/>
  <c r="AC12" i="8"/>
  <c r="AB12" i="8"/>
  <c r="AA12" i="8"/>
  <c r="Z12" i="8"/>
  <c r="Y12" i="8"/>
  <c r="X12" i="8"/>
  <c r="AE11" i="8"/>
  <c r="AD11" i="8"/>
  <c r="AC11" i="8"/>
  <c r="AB11" i="8"/>
  <c r="Z11" i="8"/>
  <c r="Y11" i="8"/>
  <c r="X11" i="8"/>
  <c r="AE10" i="8"/>
  <c r="AD10" i="8"/>
  <c r="AC10" i="8"/>
  <c r="AB10" i="8"/>
  <c r="AA10" i="8"/>
  <c r="Z10" i="8"/>
  <c r="Y10" i="8"/>
  <c r="X10" i="8"/>
  <c r="AE9" i="8"/>
  <c r="AD9" i="8"/>
  <c r="AC9" i="8"/>
  <c r="AB9" i="8"/>
  <c r="Y9" i="8"/>
  <c r="X9" i="8"/>
  <c r="AE8" i="8"/>
  <c r="AD8" i="8"/>
  <c r="AC8" i="8"/>
  <c r="AB8" i="8"/>
  <c r="Z8" i="8"/>
  <c r="Y8" i="8"/>
  <c r="X8" i="8"/>
  <c r="AE6" i="8"/>
  <c r="AE5" i="8" s="1"/>
  <c r="AD6" i="8"/>
  <c r="AD5" i="8" s="1"/>
  <c r="AC6" i="8"/>
  <c r="AC5" i="8" s="1"/>
  <c r="AB6" i="8"/>
  <c r="AB5" i="8" s="1"/>
  <c r="AA6" i="8"/>
  <c r="AA5" i="8" s="1"/>
  <c r="Z6" i="8"/>
  <c r="Z5" i="8" s="1"/>
  <c r="Y6" i="8"/>
  <c r="Y5" i="8" s="1"/>
  <c r="X6" i="8"/>
  <c r="X5" i="8" s="1"/>
  <c r="AD83" i="6"/>
  <c r="Z83" i="6"/>
  <c r="AD59" i="6"/>
  <c r="AC59" i="6"/>
  <c r="AB59" i="6"/>
  <c r="AA59" i="6"/>
  <c r="Z59" i="6"/>
  <c r="Y59" i="6"/>
  <c r="X59" i="6"/>
  <c r="W59" i="6"/>
  <c r="AD51" i="6"/>
  <c r="AC51" i="6"/>
  <c r="AB51" i="6"/>
  <c r="AA51" i="6"/>
  <c r="AA13" i="6" s="1"/>
  <c r="Z51" i="6"/>
  <c r="Z13" i="6" s="1"/>
  <c r="X51" i="6"/>
  <c r="Y13" i="6" s="1"/>
  <c r="W51" i="6"/>
  <c r="W13" i="6" s="1"/>
  <c r="AD47" i="6"/>
  <c r="AC47" i="6"/>
  <c r="AB47" i="6"/>
  <c r="AA47" i="6"/>
  <c r="Z47" i="6"/>
  <c r="Y47" i="6"/>
  <c r="X47" i="6"/>
  <c r="W47" i="6"/>
  <c r="AD44" i="6"/>
  <c r="AD84" i="6" s="1"/>
  <c r="AC44" i="6"/>
  <c r="AB44" i="6"/>
  <c r="AA44" i="6"/>
  <c r="Z44" i="6"/>
  <c r="Z84" i="6" s="1"/>
  <c r="X44" i="6"/>
  <c r="W44" i="6"/>
  <c r="Y42" i="6"/>
  <c r="Y44" i="6" s="1"/>
  <c r="Y84" i="6" s="1"/>
  <c r="AD36" i="6"/>
  <c r="AC36" i="6"/>
  <c r="AB36" i="6"/>
  <c r="AA36" i="6"/>
  <c r="Z36" i="6"/>
  <c r="Y36" i="6"/>
  <c r="X36" i="6"/>
  <c r="W36" i="6"/>
  <c r="AD32" i="6"/>
  <c r="AC32" i="6"/>
  <c r="AB32" i="6"/>
  <c r="AA32" i="6"/>
  <c r="Z32" i="6"/>
  <c r="Y32" i="6"/>
  <c r="X32" i="6"/>
  <c r="W32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W21" i="6" s="1"/>
  <c r="AD17" i="6"/>
  <c r="AC17" i="6"/>
  <c r="AB17" i="6"/>
  <c r="AA17" i="6"/>
  <c r="Z17" i="6"/>
  <c r="Y17" i="6"/>
  <c r="X17" i="6"/>
  <c r="W17" i="6"/>
  <c r="AD16" i="6"/>
  <c r="AC16" i="6"/>
  <c r="AB16" i="6"/>
  <c r="AA16" i="6"/>
  <c r="Z16" i="6"/>
  <c r="Y16" i="6"/>
  <c r="X16" i="6"/>
  <c r="W16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2" i="6"/>
  <c r="AC12" i="6"/>
  <c r="AB12" i="6"/>
  <c r="AA12" i="6"/>
  <c r="Z12" i="6"/>
  <c r="Y12" i="6"/>
  <c r="X12" i="6"/>
  <c r="W12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D8" i="6"/>
  <c r="AD9" i="6" s="1"/>
  <c r="AC8" i="6"/>
  <c r="AC9" i="6" s="1"/>
  <c r="AB8" i="6"/>
  <c r="AB9" i="6" s="1"/>
  <c r="AA8" i="6"/>
  <c r="Z8" i="6"/>
  <c r="Y8" i="6"/>
  <c r="X8" i="6"/>
  <c r="W8" i="6"/>
  <c r="AD7" i="6"/>
  <c r="AC7" i="6"/>
  <c r="AB7" i="6"/>
  <c r="AA7" i="6"/>
  <c r="Z7" i="6"/>
  <c r="Z9" i="6" s="1"/>
  <c r="Y7" i="6"/>
  <c r="Y9" i="6" s="1"/>
  <c r="X7" i="6"/>
  <c r="X9" i="6" s="1"/>
  <c r="W7" i="6"/>
  <c r="W9" i="6" s="1"/>
  <c r="AD5" i="6"/>
  <c r="AC5" i="6"/>
  <c r="AB5" i="6"/>
  <c r="AA5" i="6"/>
  <c r="Z5" i="6"/>
  <c r="Y5" i="6"/>
  <c r="X5" i="6"/>
  <c r="W5" i="6"/>
  <c r="AD4" i="6"/>
  <c r="AD6" i="6" s="1"/>
  <c r="AC4" i="6"/>
  <c r="AC6" i="6" s="1"/>
  <c r="AB4" i="6"/>
  <c r="AB6" i="6" s="1"/>
  <c r="AA4" i="6"/>
  <c r="AA6" i="6" s="1"/>
  <c r="X4" i="6"/>
  <c r="W4" i="6"/>
  <c r="AJ31" i="4" l="1"/>
  <c r="AJ34" i="4"/>
  <c r="AJ37" i="4"/>
  <c r="AN35" i="4"/>
  <c r="AI31" i="4"/>
  <c r="AK27" i="4"/>
  <c r="AB14" i="8"/>
  <c r="AC14" i="8"/>
  <c r="AD14" i="8"/>
  <c r="AB13" i="6"/>
  <c r="AA20" i="12"/>
  <c r="AL32" i="4"/>
  <c r="AM32" i="4"/>
  <c r="AN32" i="4"/>
  <c r="AN38" i="4"/>
  <c r="AP30" i="4"/>
  <c r="AI34" i="4"/>
  <c r="AP32" i="4"/>
  <c r="AL34" i="4"/>
  <c r="AP38" i="4"/>
  <c r="AK81" i="4"/>
  <c r="AP39" i="4"/>
  <c r="AI37" i="4"/>
  <c r="AL37" i="4"/>
  <c r="AJ30" i="4"/>
  <c r="AJ33" i="4"/>
  <c r="AN34" i="4"/>
  <c r="AN37" i="4"/>
  <c r="AJ39" i="4"/>
  <c r="AP36" i="4"/>
  <c r="AM38" i="4"/>
  <c r="AL31" i="4"/>
  <c r="AP35" i="4"/>
  <c r="AN31" i="4"/>
  <c r="AJ36" i="4"/>
  <c r="X7" i="8"/>
  <c r="AA21" i="8"/>
  <c r="AA30" i="8" s="1"/>
  <c r="Y50" i="8"/>
  <c r="AB21" i="8"/>
  <c r="AB30" i="8" s="1"/>
  <c r="X21" i="8"/>
  <c r="X30" i="8" s="1"/>
  <c r="Y21" i="8"/>
  <c r="Y30" i="8" s="1"/>
  <c r="Z21" i="8"/>
  <c r="Z30" i="8" s="1"/>
  <c r="AC21" i="8"/>
  <c r="AC30" i="8" s="1"/>
  <c r="AD21" i="8"/>
  <c r="AD30" i="8" s="1"/>
  <c r="AA7" i="8"/>
  <c r="AE14" i="8"/>
  <c r="AC21" i="6"/>
  <c r="AB21" i="6"/>
  <c r="AD21" i="6"/>
  <c r="Y83" i="6"/>
  <c r="W56" i="6"/>
  <c r="W66" i="6" s="1"/>
  <c r="W69" i="6" s="1"/>
  <c r="W71" i="6" s="1"/>
  <c r="W73" i="6" s="1"/>
  <c r="X56" i="6"/>
  <c r="X66" i="6" s="1"/>
  <c r="X69" i="6" s="1"/>
  <c r="X71" i="6" s="1"/>
  <c r="X73" i="6" s="1"/>
  <c r="Y56" i="6"/>
  <c r="Y66" i="6" s="1"/>
  <c r="Y69" i="6" s="1"/>
  <c r="Y71" i="6" s="1"/>
  <c r="Y73" i="6" s="1"/>
  <c r="Y76" i="6" s="1"/>
  <c r="AP6" i="3"/>
  <c r="AP12" i="3" s="1"/>
  <c r="AP24" i="3"/>
  <c r="AP30" i="3"/>
  <c r="AP37" i="3" s="1"/>
  <c r="AP5" i="5"/>
  <c r="AP18" i="5" s="1"/>
  <c r="AO14" i="4"/>
  <c r="AO27" i="4"/>
  <c r="AI81" i="4"/>
  <c r="AM81" i="4"/>
  <c r="AL30" i="4"/>
  <c r="AP14" i="4"/>
  <c r="AL33" i="4"/>
  <c r="AP34" i="4"/>
  <c r="AL36" i="4"/>
  <c r="AP37" i="4"/>
  <c r="AL39" i="4"/>
  <c r="AP27" i="4"/>
  <c r="AP33" i="4"/>
  <c r="AJ81" i="4"/>
  <c r="AN81" i="4"/>
  <c r="AM30" i="4"/>
  <c r="AI32" i="4"/>
  <c r="AM33" i="4"/>
  <c r="AI35" i="4"/>
  <c r="AM36" i="4"/>
  <c r="AI38" i="4"/>
  <c r="AM39" i="4"/>
  <c r="AN30" i="4"/>
  <c r="AJ32" i="4"/>
  <c r="AN33" i="4"/>
  <c r="AJ35" i="4"/>
  <c r="AN36" i="4"/>
  <c r="AJ38" i="4"/>
  <c r="AN39" i="4"/>
  <c r="AL81" i="4"/>
  <c r="AL27" i="4"/>
  <c r="AI14" i="4"/>
  <c r="AI27" i="4"/>
  <c r="AM27" i="4"/>
  <c r="AI33" i="4"/>
  <c r="AM34" i="4"/>
  <c r="AI36" i="4"/>
  <c r="AM37" i="4"/>
  <c r="AI39" i="4"/>
  <c r="AO81" i="4"/>
  <c r="AJ27" i="4"/>
  <c r="AN27" i="4"/>
  <c r="AP81" i="4"/>
  <c r="AK31" i="4"/>
  <c r="AO32" i="4"/>
  <c r="AK34" i="4"/>
  <c r="AO35" i="4"/>
  <c r="AK37" i="4"/>
  <c r="AO38" i="4"/>
  <c r="AE21" i="8"/>
  <c r="AE30" i="8" s="1"/>
  <c r="X14" i="8"/>
  <c r="AB50" i="8"/>
  <c r="Y14" i="8"/>
  <c r="X50" i="8"/>
  <c r="Y7" i="8"/>
  <c r="Y18" i="8" s="1"/>
  <c r="Z14" i="8"/>
  <c r="AD50" i="8"/>
  <c r="AC50" i="8"/>
  <c r="AA14" i="8"/>
  <c r="AE50" i="8"/>
  <c r="AB7" i="8"/>
  <c r="AB18" i="8" s="1"/>
  <c r="AC7" i="8"/>
  <c r="AD7" i="8"/>
  <c r="AD18" i="8" s="1"/>
  <c r="AC13" i="6"/>
  <c r="AC18" i="6" s="1"/>
  <c r="AC28" i="6" s="1"/>
  <c r="AC31" i="6" s="1"/>
  <c r="AC33" i="6" s="1"/>
  <c r="AC56" i="6"/>
  <c r="AC66" i="6" s="1"/>
  <c r="AC69" i="6" s="1"/>
  <c r="AC71" i="6" s="1"/>
  <c r="AC73" i="6" s="1"/>
  <c r="AC35" i="6" s="1"/>
  <c r="AA9" i="6"/>
  <c r="AA18" i="6" s="1"/>
  <c r="AD13" i="6"/>
  <c r="AD18" i="6" s="1"/>
  <c r="AD28" i="6" s="1"/>
  <c r="AD31" i="6" s="1"/>
  <c r="AD33" i="6" s="1"/>
  <c r="W6" i="6"/>
  <c r="W18" i="6" s="1"/>
  <c r="W28" i="6" s="1"/>
  <c r="W31" i="6" s="1"/>
  <c r="W33" i="6" s="1"/>
  <c r="Y21" i="6"/>
  <c r="Z56" i="6"/>
  <c r="Z66" i="6" s="1"/>
  <c r="Z69" i="6" s="1"/>
  <c r="Z71" i="6" s="1"/>
  <c r="Z73" i="6" s="1"/>
  <c r="Z76" i="6" s="1"/>
  <c r="AA56" i="6"/>
  <c r="AA66" i="6" s="1"/>
  <c r="AA69" i="6" s="1"/>
  <c r="AA71" i="6" s="1"/>
  <c r="AA73" i="6" s="1"/>
  <c r="AA35" i="6" s="1"/>
  <c r="Y4" i="6"/>
  <c r="Y6" i="6" s="1"/>
  <c r="Y18" i="6" s="1"/>
  <c r="AA21" i="6"/>
  <c r="AD56" i="6"/>
  <c r="AD66" i="6" s="1"/>
  <c r="AD69" i="6" s="1"/>
  <c r="AD71" i="6" s="1"/>
  <c r="AD73" i="6" s="1"/>
  <c r="AD76" i="6" s="1"/>
  <c r="X21" i="6"/>
  <c r="AB56" i="6"/>
  <c r="AB66" i="6" s="1"/>
  <c r="AB69" i="6" s="1"/>
  <c r="AB71" i="6" s="1"/>
  <c r="AB73" i="6" s="1"/>
  <c r="AB76" i="6" s="1"/>
  <c r="X6" i="6"/>
  <c r="Z21" i="6"/>
  <c r="Z4" i="6"/>
  <c r="Z6" i="6" s="1"/>
  <c r="Z18" i="6" s="1"/>
  <c r="AI30" i="4"/>
  <c r="AM31" i="4"/>
  <c r="AJ14" i="4"/>
  <c r="AK14" i="4"/>
  <c r="AO31" i="4"/>
  <c r="AL14" i="4"/>
  <c r="AM14" i="4"/>
  <c r="AN14" i="4"/>
  <c r="AP31" i="4"/>
  <c r="AE7" i="8"/>
  <c r="Z9" i="8"/>
  <c r="Z7" i="8" s="1"/>
  <c r="Z39" i="8"/>
  <c r="Z50" i="8" s="1"/>
  <c r="AA39" i="8"/>
  <c r="AA50" i="8" s="1"/>
  <c r="AB18" i="6"/>
  <c r="AB28" i="6" s="1"/>
  <c r="AB31" i="6" s="1"/>
  <c r="AB33" i="6" s="1"/>
  <c r="X13" i="6"/>
  <c r="X18" i="6" s="1"/>
  <c r="X28" i="6" s="1"/>
  <c r="X31" i="6" s="1"/>
  <c r="X33" i="6" s="1"/>
  <c r="AK40" i="4" l="1"/>
  <c r="AC18" i="8"/>
  <c r="AA18" i="8"/>
  <c r="X18" i="8"/>
  <c r="Z35" i="6"/>
  <c r="AA28" i="6"/>
  <c r="AA31" i="6" s="1"/>
  <c r="AA33" i="6" s="1"/>
  <c r="X35" i="6"/>
  <c r="AA76" i="6"/>
  <c r="AB35" i="6"/>
  <c r="AM40" i="4"/>
  <c r="AJ40" i="4"/>
  <c r="AE18" i="8"/>
  <c r="Z18" i="8"/>
  <c r="Y35" i="6"/>
  <c r="X76" i="6"/>
  <c r="AP40" i="4"/>
  <c r="AI40" i="4"/>
  <c r="AN40" i="4"/>
  <c r="AL40" i="4"/>
  <c r="AO40" i="4"/>
  <c r="Z28" i="6"/>
  <c r="Z31" i="6" s="1"/>
  <c r="Z33" i="6" s="1"/>
  <c r="Y28" i="6"/>
  <c r="Y31" i="6" s="1"/>
  <c r="Y33" i="6" s="1"/>
  <c r="AC76" i="6"/>
  <c r="AD35" i="6"/>
  <c r="W35" i="6"/>
  <c r="W76" i="6"/>
  <c r="AN53" i="3" l="1"/>
  <c r="AO26" i="3" l="1"/>
  <c r="AO29" i="3"/>
  <c r="AN28" i="3"/>
  <c r="AO28" i="3"/>
  <c r="AN25" i="3"/>
  <c r="AO25" i="3"/>
  <c r="AO48" i="3"/>
  <c r="Z51" i="12" l="1"/>
  <c r="Z44" i="12"/>
  <c r="Z37" i="12"/>
  <c r="Z30" i="12"/>
  <c r="Z17" i="12"/>
  <c r="Z14" i="12"/>
  <c r="Z7" i="12"/>
  <c r="Z4" i="12"/>
  <c r="AO53" i="3"/>
  <c r="AO35" i="3"/>
  <c r="AO27" i="3"/>
  <c r="AO24" i="3"/>
  <c r="AO18" i="3"/>
  <c r="AO15" i="3"/>
  <c r="AO9" i="3"/>
  <c r="AO6" i="3"/>
  <c r="AO26" i="5"/>
  <c r="AO39" i="5" s="1"/>
  <c r="AO17" i="5"/>
  <c r="AO16" i="5"/>
  <c r="AO15" i="5"/>
  <c r="AO14" i="5"/>
  <c r="AO13" i="5"/>
  <c r="AO12" i="5"/>
  <c r="AO11" i="5"/>
  <c r="AO10" i="5"/>
  <c r="AO9" i="5"/>
  <c r="AO8" i="5"/>
  <c r="AO7" i="5"/>
  <c r="AO6" i="5"/>
  <c r="AO4" i="5"/>
  <c r="Y51" i="12"/>
  <c r="Y44" i="12"/>
  <c r="Y37" i="12"/>
  <c r="Y30" i="12"/>
  <c r="Y17" i="12"/>
  <c r="Y14" i="12"/>
  <c r="Y7" i="12"/>
  <c r="Y4" i="12"/>
  <c r="AN35" i="3"/>
  <c r="AN8" i="3"/>
  <c r="AN26" i="3" s="1"/>
  <c r="AN11" i="3"/>
  <c r="AN48" i="3"/>
  <c r="AN18" i="3"/>
  <c r="AN15" i="3"/>
  <c r="AN24" i="3"/>
  <c r="AN17" i="5"/>
  <c r="AN16" i="5"/>
  <c r="AN15" i="5"/>
  <c r="AN14" i="5"/>
  <c r="AN13" i="5"/>
  <c r="AN12" i="5"/>
  <c r="AN11" i="5"/>
  <c r="AN10" i="5"/>
  <c r="AN9" i="5"/>
  <c r="AN8" i="5"/>
  <c r="AN7" i="5"/>
  <c r="AN6" i="5"/>
  <c r="AN4" i="5"/>
  <c r="AJ4" i="5"/>
  <c r="AN26" i="5"/>
  <c r="AN39" i="5" s="1"/>
  <c r="X51" i="12"/>
  <c r="W51" i="12"/>
  <c r="V51" i="12"/>
  <c r="U51" i="12"/>
  <c r="T51" i="12"/>
  <c r="X44" i="12"/>
  <c r="W44" i="12"/>
  <c r="V44" i="12"/>
  <c r="U44" i="12"/>
  <c r="T44" i="12"/>
  <c r="X37" i="12"/>
  <c r="W37" i="12"/>
  <c r="V37" i="12"/>
  <c r="U37" i="12"/>
  <c r="T37" i="12"/>
  <c r="X30" i="12"/>
  <c r="W30" i="12"/>
  <c r="V30" i="12"/>
  <c r="U30" i="12"/>
  <c r="T30" i="12"/>
  <c r="X17" i="12"/>
  <c r="W17" i="12"/>
  <c r="V17" i="12"/>
  <c r="U17" i="12"/>
  <c r="U20" i="12" s="1"/>
  <c r="T17" i="12"/>
  <c r="T20" i="12" s="1"/>
  <c r="X14" i="12"/>
  <c r="W14" i="12"/>
  <c r="V14" i="12"/>
  <c r="U14" i="12"/>
  <c r="T14" i="12"/>
  <c r="X7" i="12"/>
  <c r="W7" i="12"/>
  <c r="V7" i="12"/>
  <c r="U7" i="12"/>
  <c r="T7" i="12"/>
  <c r="X4" i="12"/>
  <c r="W4" i="12"/>
  <c r="V4" i="12"/>
  <c r="U4" i="12"/>
  <c r="T4" i="12"/>
  <c r="AM53" i="3"/>
  <c r="AM48" i="3"/>
  <c r="AM35" i="3"/>
  <c r="AM28" i="3"/>
  <c r="AM25" i="3"/>
  <c r="AM20" i="3"/>
  <c r="AM18" i="3" s="1"/>
  <c r="AM17" i="3"/>
  <c r="AM15" i="3" s="1"/>
  <c r="AM11" i="3"/>
  <c r="AM8" i="3"/>
  <c r="AK36" i="5"/>
  <c r="AK26" i="5" s="1"/>
  <c r="AK39" i="5" s="1"/>
  <c r="AJ36" i="5"/>
  <c r="AJ26" i="5" s="1"/>
  <c r="AJ39" i="5" s="1"/>
  <c r="AM26" i="5"/>
  <c r="AM39" i="5" s="1"/>
  <c r="AL26" i="5"/>
  <c r="AL39" i="5" s="1"/>
  <c r="AI26" i="5"/>
  <c r="AI39" i="5" s="1"/>
  <c r="AM17" i="5"/>
  <c r="AL17" i="5"/>
  <c r="AK17" i="5"/>
  <c r="AJ17" i="5"/>
  <c r="AI17" i="5"/>
  <c r="AM16" i="5"/>
  <c r="AL16" i="5"/>
  <c r="AK16" i="5"/>
  <c r="AJ16" i="5"/>
  <c r="AI16" i="5"/>
  <c r="AM15" i="5"/>
  <c r="AJ15" i="5"/>
  <c r="AI15" i="5"/>
  <c r="AM14" i="5"/>
  <c r="AL14" i="5"/>
  <c r="AK14" i="5"/>
  <c r="AJ14" i="5"/>
  <c r="AI14" i="5"/>
  <c r="AM13" i="5"/>
  <c r="AL13" i="5"/>
  <c r="AK13" i="5"/>
  <c r="AJ13" i="5"/>
  <c r="AI13" i="5"/>
  <c r="AM12" i="5"/>
  <c r="AL12" i="5"/>
  <c r="AK12" i="5"/>
  <c r="AJ12" i="5"/>
  <c r="AI12" i="5"/>
  <c r="AM11" i="5"/>
  <c r="AL11" i="5"/>
  <c r="AK11" i="5"/>
  <c r="AJ11" i="5"/>
  <c r="AI11" i="5"/>
  <c r="AM10" i="5"/>
  <c r="AL10" i="5"/>
  <c r="AK10" i="5"/>
  <c r="AJ10" i="5"/>
  <c r="AI10" i="5"/>
  <c r="AM9" i="5"/>
  <c r="AL9" i="5"/>
  <c r="AK9" i="5"/>
  <c r="AJ9" i="5"/>
  <c r="AI9" i="5"/>
  <c r="AM8" i="5"/>
  <c r="AL8" i="5"/>
  <c r="AK8" i="5"/>
  <c r="AJ8" i="5"/>
  <c r="AI8" i="5"/>
  <c r="AM7" i="5"/>
  <c r="AL7" i="5"/>
  <c r="AK7" i="5"/>
  <c r="AJ7" i="5"/>
  <c r="AI7" i="5"/>
  <c r="AM6" i="5"/>
  <c r="AL6" i="5"/>
  <c r="AK6" i="5"/>
  <c r="AJ6" i="5"/>
  <c r="AI6" i="5"/>
  <c r="AM4" i="5"/>
  <c r="AL4" i="5"/>
  <c r="AK4" i="5"/>
  <c r="AI4" i="5"/>
  <c r="W20" i="12" l="1"/>
  <c r="X20" i="12"/>
  <c r="U10" i="12"/>
  <c r="W10" i="12"/>
  <c r="V10" i="12"/>
  <c r="V20" i="12"/>
  <c r="AN9" i="3"/>
  <c r="AN29" i="3"/>
  <c r="AN27" i="3" s="1"/>
  <c r="AN30" i="3" s="1"/>
  <c r="AN37" i="3" s="1"/>
  <c r="AM29" i="3"/>
  <c r="AJ5" i="5"/>
  <c r="AJ18" i="5" s="1"/>
  <c r="AN5" i="5"/>
  <c r="AN18" i="5" s="1"/>
  <c r="Z10" i="12"/>
  <c r="Z20" i="12"/>
  <c r="X10" i="12"/>
  <c r="AO12" i="3"/>
  <c r="AO21" i="3"/>
  <c r="AO30" i="3"/>
  <c r="AO37" i="3" s="1"/>
  <c r="AM21" i="3"/>
  <c r="AM26" i="3"/>
  <c r="AM24" i="3" s="1"/>
  <c r="AM30" i="3" s="1"/>
  <c r="AM37" i="3" s="1"/>
  <c r="AM9" i="3"/>
  <c r="AO5" i="5"/>
  <c r="AO18" i="5" s="1"/>
  <c r="T10" i="12"/>
  <c r="Y10" i="12"/>
  <c r="Y20" i="12"/>
  <c r="AN21" i="3"/>
  <c r="AM27" i="3"/>
  <c r="AN6" i="3"/>
  <c r="AI5" i="5"/>
  <c r="AI18" i="5" s="1"/>
  <c r="AM5" i="5"/>
  <c r="AM18" i="5" s="1"/>
  <c r="AM6" i="3"/>
  <c r="AL15" i="5"/>
  <c r="AL5" i="5" s="1"/>
  <c r="AL18" i="5" s="1"/>
  <c r="AK15" i="5"/>
  <c r="AK5" i="5" s="1"/>
  <c r="AK18" i="5" s="1"/>
  <c r="AM12" i="3" l="1"/>
  <c r="AN12" i="3"/>
  <c r="W53" i="8"/>
  <c r="W62" i="8" s="1"/>
  <c r="V53" i="8"/>
  <c r="V62" i="8" s="1"/>
  <c r="U53" i="8"/>
  <c r="U62" i="8" s="1"/>
  <c r="T53" i="8"/>
  <c r="T62" i="8" s="1"/>
  <c r="W46" i="8"/>
  <c r="V46" i="8"/>
  <c r="U46" i="8"/>
  <c r="T46" i="8"/>
  <c r="W39" i="8"/>
  <c r="V39" i="8"/>
  <c r="U39" i="8"/>
  <c r="T39" i="8"/>
  <c r="W37" i="8"/>
  <c r="V37" i="8"/>
  <c r="U37" i="8"/>
  <c r="T37" i="8"/>
  <c r="W29" i="8"/>
  <c r="V29" i="8"/>
  <c r="U29" i="8"/>
  <c r="T29" i="8"/>
  <c r="W28" i="8"/>
  <c r="V28" i="8"/>
  <c r="U28" i="8"/>
  <c r="T28" i="8"/>
  <c r="W27" i="8"/>
  <c r="V27" i="8"/>
  <c r="U27" i="8"/>
  <c r="T27" i="8"/>
  <c r="W26" i="8"/>
  <c r="V26" i="8"/>
  <c r="U26" i="8"/>
  <c r="T26" i="8"/>
  <c r="W25" i="8"/>
  <c r="V25" i="8"/>
  <c r="U25" i="8"/>
  <c r="T25" i="8"/>
  <c r="W24" i="8"/>
  <c r="V24" i="8"/>
  <c r="U24" i="8"/>
  <c r="T24" i="8"/>
  <c r="W23" i="8"/>
  <c r="V23" i="8"/>
  <c r="U23" i="8"/>
  <c r="T23" i="8"/>
  <c r="W22" i="8"/>
  <c r="V22" i="8"/>
  <c r="V21" i="8" s="1"/>
  <c r="U22" i="8"/>
  <c r="T22" i="8"/>
  <c r="W17" i="8"/>
  <c r="V17" i="8"/>
  <c r="U17" i="8"/>
  <c r="T17" i="8"/>
  <c r="W16" i="8"/>
  <c r="V16" i="8"/>
  <c r="U16" i="8"/>
  <c r="W15" i="8"/>
  <c r="V15" i="8"/>
  <c r="U15" i="8"/>
  <c r="T15" i="8"/>
  <c r="W13" i="8"/>
  <c r="V13" i="8"/>
  <c r="U13" i="8"/>
  <c r="T13" i="8"/>
  <c r="W12" i="8"/>
  <c r="V12" i="8"/>
  <c r="U12" i="8"/>
  <c r="T12" i="8"/>
  <c r="W11" i="8"/>
  <c r="V11" i="8"/>
  <c r="U11" i="8"/>
  <c r="T11" i="8"/>
  <c r="W10" i="8"/>
  <c r="V10" i="8"/>
  <c r="U10" i="8"/>
  <c r="T10" i="8"/>
  <c r="W9" i="8"/>
  <c r="V9" i="8"/>
  <c r="U9" i="8"/>
  <c r="T9" i="8"/>
  <c r="W8" i="8"/>
  <c r="V8" i="8"/>
  <c r="U8" i="8"/>
  <c r="T8" i="8"/>
  <c r="W6" i="8"/>
  <c r="W5" i="8" s="1"/>
  <c r="V6" i="8"/>
  <c r="V5" i="8" s="1"/>
  <c r="U6" i="8"/>
  <c r="U5" i="8" s="1"/>
  <c r="T6" i="8"/>
  <c r="T5" i="8" s="1"/>
  <c r="W21" i="8" l="1"/>
  <c r="T21" i="8"/>
  <c r="U7" i="8"/>
  <c r="W7" i="8"/>
  <c r="V7" i="8"/>
  <c r="W14" i="8"/>
  <c r="U50" i="8"/>
  <c r="T7" i="8"/>
  <c r="W50" i="8"/>
  <c r="W30" i="8"/>
  <c r="T50" i="8"/>
  <c r="U14" i="8"/>
  <c r="U18" i="8" s="1"/>
  <c r="V50" i="8"/>
  <c r="V14" i="8"/>
  <c r="T30" i="8"/>
  <c r="V30" i="8"/>
  <c r="T14" i="8"/>
  <c r="U21" i="8"/>
  <c r="U30" i="8" s="1"/>
  <c r="T18" i="8" l="1"/>
  <c r="V18" i="8"/>
  <c r="W18" i="8"/>
  <c r="AL8" i="3"/>
  <c r="AL11" i="3"/>
  <c r="AL53" i="3" l="1"/>
  <c r="AL48" i="3"/>
  <c r="AL35" i="3"/>
  <c r="AL28" i="3"/>
  <c r="AL26" i="3"/>
  <c r="AL25" i="3"/>
  <c r="AL18" i="3"/>
  <c r="AL15" i="3"/>
  <c r="AL9" i="3"/>
  <c r="AL6" i="3"/>
  <c r="AL24" i="3" l="1"/>
  <c r="AL12" i="3"/>
  <c r="AL21" i="3"/>
  <c r="AL29" i="3"/>
  <c r="AL27" i="3" s="1"/>
  <c r="AL30" i="3" l="1"/>
  <c r="AL37" i="3" s="1"/>
  <c r="AK53" i="3" l="1"/>
  <c r="AK48" i="3"/>
  <c r="AK35" i="3"/>
  <c r="AK28" i="3"/>
  <c r="AK25" i="3"/>
  <c r="AK20" i="3"/>
  <c r="AK18" i="3" s="1"/>
  <c r="AK17" i="3"/>
  <c r="AK15" i="3" s="1"/>
  <c r="AK21" i="3" s="1"/>
  <c r="AK11" i="3"/>
  <c r="AK9" i="3" s="1"/>
  <c r="AK8" i="3"/>
  <c r="AK6" i="3" s="1"/>
  <c r="AH80" i="4"/>
  <c r="AG80" i="4"/>
  <c r="AF80" i="4"/>
  <c r="AE80" i="4"/>
  <c r="AH79" i="4"/>
  <c r="AG79" i="4"/>
  <c r="AF79" i="4"/>
  <c r="AE79" i="4"/>
  <c r="AH78" i="4"/>
  <c r="AG78" i="4"/>
  <c r="AF78" i="4"/>
  <c r="AE78" i="4"/>
  <c r="AH77" i="4"/>
  <c r="AG77" i="4"/>
  <c r="AF77" i="4"/>
  <c r="AE77" i="4"/>
  <c r="AH76" i="4"/>
  <c r="AG76" i="4"/>
  <c r="AF76" i="4"/>
  <c r="AE76" i="4"/>
  <c r="AH75" i="4"/>
  <c r="AG75" i="4"/>
  <c r="AF75" i="4"/>
  <c r="AE75" i="4"/>
  <c r="AH74" i="4"/>
  <c r="AG74" i="4"/>
  <c r="AF74" i="4"/>
  <c r="AE74" i="4"/>
  <c r="AH73" i="4"/>
  <c r="AG73" i="4"/>
  <c r="AF73" i="4"/>
  <c r="AE73" i="4"/>
  <c r="AH72" i="4"/>
  <c r="AG72" i="4"/>
  <c r="AF72" i="4"/>
  <c r="AE72" i="4"/>
  <c r="AH71" i="4"/>
  <c r="AG71" i="4"/>
  <c r="AF71" i="4"/>
  <c r="AE71" i="4"/>
  <c r="AH68" i="4"/>
  <c r="AG68" i="4"/>
  <c r="AF68" i="4"/>
  <c r="AE68" i="4"/>
  <c r="AH55" i="4"/>
  <c r="AG55" i="4"/>
  <c r="AF55" i="4"/>
  <c r="AE55" i="4"/>
  <c r="AH26" i="4"/>
  <c r="AG26" i="4"/>
  <c r="AF26" i="4"/>
  <c r="AE26" i="4"/>
  <c r="AH25" i="4"/>
  <c r="AG25" i="4"/>
  <c r="AF25" i="4"/>
  <c r="AE25" i="4"/>
  <c r="AH24" i="4"/>
  <c r="AG24" i="4"/>
  <c r="AF24" i="4"/>
  <c r="AE24" i="4"/>
  <c r="AH23" i="4"/>
  <c r="AG23" i="4"/>
  <c r="AF23" i="4"/>
  <c r="AE23" i="4"/>
  <c r="AH22" i="4"/>
  <c r="AG22" i="4"/>
  <c r="AF22" i="4"/>
  <c r="AE22" i="4"/>
  <c r="AH21" i="4"/>
  <c r="AG21" i="4"/>
  <c r="AF21" i="4"/>
  <c r="AE21" i="4"/>
  <c r="AH20" i="4"/>
  <c r="AG20" i="4"/>
  <c r="AF20" i="4"/>
  <c r="AE20" i="4"/>
  <c r="AH19" i="4"/>
  <c r="AG19" i="4"/>
  <c r="AF19" i="4"/>
  <c r="AE19" i="4"/>
  <c r="AH18" i="4"/>
  <c r="AG18" i="4"/>
  <c r="AF18" i="4"/>
  <c r="AE18" i="4"/>
  <c r="AH17" i="4"/>
  <c r="AG17" i="4"/>
  <c r="AF17" i="4"/>
  <c r="AF27" i="4" s="1"/>
  <c r="AE17" i="4"/>
  <c r="AH13" i="4"/>
  <c r="AG13" i="4"/>
  <c r="AF13" i="4"/>
  <c r="AE13" i="4"/>
  <c r="AE39" i="4" s="1"/>
  <c r="AH12" i="4"/>
  <c r="AG12" i="4"/>
  <c r="AG38" i="4" s="1"/>
  <c r="AF12" i="4"/>
  <c r="AF38" i="4" s="1"/>
  <c r="AE12" i="4"/>
  <c r="AE38" i="4" s="1"/>
  <c r="AH11" i="4"/>
  <c r="AH37" i="4" s="1"/>
  <c r="AG11" i="4"/>
  <c r="AG37" i="4" s="1"/>
  <c r="AF11" i="4"/>
  <c r="AF37" i="4" s="1"/>
  <c r="AE11" i="4"/>
  <c r="AH10" i="4"/>
  <c r="AG10" i="4"/>
  <c r="AF10" i="4"/>
  <c r="AE10" i="4"/>
  <c r="AE36" i="4" s="1"/>
  <c r="AH9" i="4"/>
  <c r="AH35" i="4" s="1"/>
  <c r="AG9" i="4"/>
  <c r="AG35" i="4" s="1"/>
  <c r="AF9" i="4"/>
  <c r="AF35" i="4" s="1"/>
  <c r="AE9" i="4"/>
  <c r="AE35" i="4" s="1"/>
  <c r="AH8" i="4"/>
  <c r="AG8" i="4"/>
  <c r="AG34" i="4" s="1"/>
  <c r="AF8" i="4"/>
  <c r="AF34" i="4" s="1"/>
  <c r="AE8" i="4"/>
  <c r="AH7" i="4"/>
  <c r="AG7" i="4"/>
  <c r="AF7" i="4"/>
  <c r="AE7" i="4"/>
  <c r="AE33" i="4" s="1"/>
  <c r="AH6" i="4"/>
  <c r="AH32" i="4" s="1"/>
  <c r="AG6" i="4"/>
  <c r="AG32" i="4" s="1"/>
  <c r="AF6" i="4"/>
  <c r="AF32" i="4" s="1"/>
  <c r="AE6" i="4"/>
  <c r="AE32" i="4" s="1"/>
  <c r="AH5" i="4"/>
  <c r="AG5" i="4"/>
  <c r="AG31" i="4" s="1"/>
  <c r="AF5" i="4"/>
  <c r="AF31" i="4" s="1"/>
  <c r="AE5" i="4"/>
  <c r="AH4" i="4"/>
  <c r="AG4" i="4"/>
  <c r="AF4" i="4"/>
  <c r="AE4" i="4"/>
  <c r="AE30" i="4" s="1"/>
  <c r="AG14" i="4" l="1"/>
  <c r="AG33" i="4"/>
  <c r="AG36" i="4"/>
  <c r="AH36" i="4"/>
  <c r="AH30" i="4"/>
  <c r="AH33" i="4"/>
  <c r="AH39" i="4"/>
  <c r="AE31" i="4"/>
  <c r="AE34" i="4"/>
  <c r="AE37" i="4"/>
  <c r="AH38" i="4"/>
  <c r="AF14" i="4"/>
  <c r="AF33" i="4"/>
  <c r="AF36" i="4"/>
  <c r="AF39" i="4"/>
  <c r="AG39" i="4"/>
  <c r="AH81" i="4"/>
  <c r="AK12" i="3"/>
  <c r="AF81" i="4"/>
  <c r="AH34" i="4"/>
  <c r="AH14" i="4"/>
  <c r="AE27" i="4"/>
  <c r="AE81" i="4"/>
  <c r="AK26" i="3"/>
  <c r="AK24" i="3" s="1"/>
  <c r="AG81" i="4"/>
  <c r="AH27" i="4"/>
  <c r="AG27" i="4"/>
  <c r="AK29" i="3"/>
  <c r="AK27" i="3" s="1"/>
  <c r="AF30" i="4"/>
  <c r="AG30" i="4"/>
  <c r="AH31" i="4"/>
  <c r="AE14" i="4"/>
  <c r="AG40" i="4" l="1"/>
  <c r="AE40" i="4"/>
  <c r="AF40" i="4"/>
  <c r="AH40" i="4"/>
  <c r="AK30" i="3"/>
  <c r="AK37" i="3" s="1"/>
  <c r="V59" i="6"/>
  <c r="U59" i="6"/>
  <c r="T59" i="6"/>
  <c r="S59" i="6"/>
  <c r="V51" i="6"/>
  <c r="U51" i="6"/>
  <c r="T51" i="6"/>
  <c r="S51" i="6"/>
  <c r="S13" i="6" s="1"/>
  <c r="S50" i="6"/>
  <c r="T12" i="6" s="1"/>
  <c r="V47" i="6"/>
  <c r="U47" i="6"/>
  <c r="T47" i="6"/>
  <c r="S47" i="6"/>
  <c r="V44" i="6"/>
  <c r="U44" i="6"/>
  <c r="T44" i="6"/>
  <c r="S42" i="6"/>
  <c r="S44" i="6" s="1"/>
  <c r="V36" i="6"/>
  <c r="U36" i="6"/>
  <c r="T36" i="6"/>
  <c r="S36" i="6"/>
  <c r="V32" i="6"/>
  <c r="U32" i="6"/>
  <c r="T32" i="6"/>
  <c r="S32" i="6"/>
  <c r="V30" i="6"/>
  <c r="U30" i="6"/>
  <c r="T30" i="6"/>
  <c r="S30" i="6"/>
  <c r="V29" i="6"/>
  <c r="U29" i="6"/>
  <c r="T29" i="6"/>
  <c r="S29" i="6"/>
  <c r="V27" i="6"/>
  <c r="U27" i="6"/>
  <c r="T27" i="6"/>
  <c r="S27" i="6"/>
  <c r="V26" i="6"/>
  <c r="U26" i="6"/>
  <c r="T26" i="6"/>
  <c r="S26" i="6"/>
  <c r="V25" i="6"/>
  <c r="U25" i="6"/>
  <c r="T25" i="6"/>
  <c r="S25" i="6"/>
  <c r="V24" i="6"/>
  <c r="U24" i="6"/>
  <c r="T24" i="6"/>
  <c r="S24" i="6"/>
  <c r="V23" i="6"/>
  <c r="U23" i="6"/>
  <c r="T23" i="6"/>
  <c r="S23" i="6"/>
  <c r="V22" i="6"/>
  <c r="U22" i="6"/>
  <c r="T22" i="6"/>
  <c r="S22" i="6"/>
  <c r="V20" i="6"/>
  <c r="U20" i="6"/>
  <c r="T20" i="6"/>
  <c r="S20" i="6"/>
  <c r="V19" i="6"/>
  <c r="U19" i="6"/>
  <c r="T19" i="6"/>
  <c r="S19" i="6"/>
  <c r="V17" i="6"/>
  <c r="U17" i="6"/>
  <c r="T17" i="6"/>
  <c r="S17" i="6"/>
  <c r="V16" i="6"/>
  <c r="U16" i="6"/>
  <c r="T16" i="6"/>
  <c r="S16" i="6"/>
  <c r="V15" i="6"/>
  <c r="U15" i="6"/>
  <c r="T15" i="6"/>
  <c r="S15" i="6"/>
  <c r="V14" i="6"/>
  <c r="U14" i="6"/>
  <c r="T14" i="6"/>
  <c r="S14" i="6"/>
  <c r="V12" i="6"/>
  <c r="U12" i="6"/>
  <c r="V11" i="6"/>
  <c r="U11" i="6"/>
  <c r="T11" i="6"/>
  <c r="S11" i="6"/>
  <c r="V10" i="6"/>
  <c r="U10" i="6"/>
  <c r="T10" i="6"/>
  <c r="S10" i="6"/>
  <c r="V8" i="6"/>
  <c r="U8" i="6"/>
  <c r="T8" i="6"/>
  <c r="S8" i="6"/>
  <c r="V7" i="6"/>
  <c r="U7" i="6"/>
  <c r="T7" i="6"/>
  <c r="S7" i="6"/>
  <c r="V5" i="6"/>
  <c r="U5" i="6"/>
  <c r="T5" i="6"/>
  <c r="S5" i="6"/>
  <c r="V4" i="6"/>
  <c r="U4" i="6"/>
  <c r="S51" i="12"/>
  <c r="R51" i="12"/>
  <c r="Q51" i="12"/>
  <c r="S44" i="12"/>
  <c r="R44" i="12"/>
  <c r="Q44" i="12"/>
  <c r="S37" i="12"/>
  <c r="R37" i="12"/>
  <c r="Q37" i="12"/>
  <c r="S30" i="12"/>
  <c r="R30" i="12"/>
  <c r="Q30" i="12"/>
  <c r="S17" i="12"/>
  <c r="R17" i="12"/>
  <c r="Q17" i="12"/>
  <c r="S14" i="12"/>
  <c r="R14" i="12"/>
  <c r="Q14" i="12"/>
  <c r="S7" i="12"/>
  <c r="R7" i="12"/>
  <c r="Q7" i="12"/>
  <c r="S4" i="12"/>
  <c r="R4" i="12"/>
  <c r="Q4" i="12"/>
  <c r="AJ48" i="3"/>
  <c r="AJ35" i="3"/>
  <c r="AJ28" i="3"/>
  <c r="AJ25" i="3"/>
  <c r="AJ20" i="3"/>
  <c r="AJ18" i="3" s="1"/>
  <c r="AJ17" i="3"/>
  <c r="AJ15" i="3" s="1"/>
  <c r="AJ11" i="3"/>
  <c r="AJ9" i="3"/>
  <c r="AJ8" i="3"/>
  <c r="AJ26" i="3" s="1"/>
  <c r="R10" i="12" l="1"/>
  <c r="S10" i="12"/>
  <c r="R20" i="12"/>
  <c r="S20" i="12"/>
  <c r="AJ21" i="3"/>
  <c r="S4" i="6"/>
  <c r="S6" i="6" s="1"/>
  <c r="T9" i="6"/>
  <c r="Q10" i="12"/>
  <c r="Q20" i="12"/>
  <c r="AJ6" i="3"/>
  <c r="AJ12" i="3" s="1"/>
  <c r="AJ24" i="3"/>
  <c r="AJ29" i="3"/>
  <c r="AJ27" i="3" s="1"/>
  <c r="S9" i="6"/>
  <c r="U21" i="6"/>
  <c r="T13" i="6"/>
  <c r="S21" i="6"/>
  <c r="U9" i="6"/>
  <c r="V13" i="6"/>
  <c r="V6" i="6"/>
  <c r="S12" i="6"/>
  <c r="U6" i="6"/>
  <c r="V56" i="6"/>
  <c r="V66" i="6" s="1"/>
  <c r="V69" i="6" s="1"/>
  <c r="V71" i="6" s="1"/>
  <c r="V73" i="6" s="1"/>
  <c r="V76" i="6" s="1"/>
  <c r="V21" i="6"/>
  <c r="T56" i="6"/>
  <c r="T66" i="6" s="1"/>
  <c r="T69" i="6" s="1"/>
  <c r="T71" i="6" s="1"/>
  <c r="T73" i="6" s="1"/>
  <c r="U56" i="6"/>
  <c r="U66" i="6" s="1"/>
  <c r="U69" i="6" s="1"/>
  <c r="U71" i="6" s="1"/>
  <c r="U73" i="6" s="1"/>
  <c r="U76" i="6" s="1"/>
  <c r="V9" i="6"/>
  <c r="T21" i="6"/>
  <c r="S56" i="6"/>
  <c r="S66" i="6" s="1"/>
  <c r="S69" i="6" s="1"/>
  <c r="S71" i="6" s="1"/>
  <c r="S73" i="6" s="1"/>
  <c r="S76" i="6" s="1"/>
  <c r="U13" i="6"/>
  <c r="T4" i="6"/>
  <c r="T6" i="6" s="1"/>
  <c r="T18" i="6" s="1"/>
  <c r="AJ53" i="3"/>
  <c r="AJ30" i="3" l="1"/>
  <c r="AJ37" i="3" s="1"/>
  <c r="T28" i="6"/>
  <c r="T31" i="6" s="1"/>
  <c r="T33" i="6" s="1"/>
  <c r="V18" i="6"/>
  <c r="S18" i="6"/>
  <c r="S28" i="6" s="1"/>
  <c r="S31" i="6" s="1"/>
  <c r="S33" i="6" s="1"/>
  <c r="U18" i="6"/>
  <c r="U28" i="6" s="1"/>
  <c r="U31" i="6" s="1"/>
  <c r="U33" i="6" s="1"/>
  <c r="V28" i="6"/>
  <c r="V31" i="6" s="1"/>
  <c r="V33" i="6" s="1"/>
  <c r="S35" i="6"/>
  <c r="V35" i="6"/>
  <c r="T35" i="6"/>
  <c r="T76" i="6"/>
  <c r="U35" i="6"/>
  <c r="P51" i="12" l="1"/>
  <c r="P44" i="12"/>
  <c r="P37" i="12"/>
  <c r="P30" i="12"/>
  <c r="P17" i="12"/>
  <c r="P14" i="12"/>
  <c r="P7" i="12"/>
  <c r="P4" i="12"/>
  <c r="AI48" i="3"/>
  <c r="AH48" i="3"/>
  <c r="AG48" i="3"/>
  <c r="AF48" i="3"/>
  <c r="AE48" i="3"/>
  <c r="AI35" i="3"/>
  <c r="AH35" i="3"/>
  <c r="AG35" i="3"/>
  <c r="AF35" i="3"/>
  <c r="AE35" i="3"/>
  <c r="AG29" i="3"/>
  <c r="AF29" i="3"/>
  <c r="AE29" i="3"/>
  <c r="AE27" i="3" s="1"/>
  <c r="AI28" i="3"/>
  <c r="AH28" i="3"/>
  <c r="AG28" i="3"/>
  <c r="AF28" i="3"/>
  <c r="AE28" i="3"/>
  <c r="AG26" i="3"/>
  <c r="AF26" i="3"/>
  <c r="AE26" i="3"/>
  <c r="AI25" i="3"/>
  <c r="AH25" i="3"/>
  <c r="AG25" i="3"/>
  <c r="AF25" i="3"/>
  <c r="AE25" i="3"/>
  <c r="AI20" i="3"/>
  <c r="AI18" i="3" s="1"/>
  <c r="AH20" i="3"/>
  <c r="AH18" i="3" s="1"/>
  <c r="AG18" i="3"/>
  <c r="AF18" i="3"/>
  <c r="AE18" i="3"/>
  <c r="AI17" i="3"/>
  <c r="AI15" i="3" s="1"/>
  <c r="AH17" i="3"/>
  <c r="AH15" i="3" s="1"/>
  <c r="AG15" i="3"/>
  <c r="AF15" i="3"/>
  <c r="AE15" i="3"/>
  <c r="AI11" i="3"/>
  <c r="AI9" i="3" s="1"/>
  <c r="AH11" i="3"/>
  <c r="AH9" i="3" s="1"/>
  <c r="AG9" i="3"/>
  <c r="AF9" i="3"/>
  <c r="AE9" i="3"/>
  <c r="AI8" i="3"/>
  <c r="AI6" i="3" s="1"/>
  <c r="AH6" i="3"/>
  <c r="AG6" i="3"/>
  <c r="AF6" i="3"/>
  <c r="AE6" i="3"/>
  <c r="AH26" i="5"/>
  <c r="AH39" i="5" s="1"/>
  <c r="AG26" i="5"/>
  <c r="AG39" i="5" s="1"/>
  <c r="AF26" i="5"/>
  <c r="AF39" i="5" s="1"/>
  <c r="AE26" i="5"/>
  <c r="AE39" i="5" s="1"/>
  <c r="AH17" i="5"/>
  <c r="AG17" i="5"/>
  <c r="AF17" i="5"/>
  <c r="AE17" i="5"/>
  <c r="AH16" i="5"/>
  <c r="AG16" i="5"/>
  <c r="AF16" i="5"/>
  <c r="AE16" i="5"/>
  <c r="AH15" i="5"/>
  <c r="AG15" i="5"/>
  <c r="AF15" i="5"/>
  <c r="AE15" i="5"/>
  <c r="AH14" i="5"/>
  <c r="AG14" i="5"/>
  <c r="AF14" i="5"/>
  <c r="AE14" i="5"/>
  <c r="AH13" i="5"/>
  <c r="AG13" i="5"/>
  <c r="AF13" i="5"/>
  <c r="AE13" i="5"/>
  <c r="AH12" i="5"/>
  <c r="AG12" i="5"/>
  <c r="AF12" i="5"/>
  <c r="AE12" i="5"/>
  <c r="AH11" i="5"/>
  <c r="AG11" i="5"/>
  <c r="AF11" i="5"/>
  <c r="AE11" i="5"/>
  <c r="AH10" i="5"/>
  <c r="AG10" i="5"/>
  <c r="AF10" i="5"/>
  <c r="AE10" i="5"/>
  <c r="AH9" i="5"/>
  <c r="AG9" i="5"/>
  <c r="AF9" i="5"/>
  <c r="AE9" i="5"/>
  <c r="AH8" i="5"/>
  <c r="AG8" i="5"/>
  <c r="AF8" i="5"/>
  <c r="AE8" i="5"/>
  <c r="AH7" i="5"/>
  <c r="AG7" i="5"/>
  <c r="AF7" i="5"/>
  <c r="AE7" i="5"/>
  <c r="AH6" i="5"/>
  <c r="AG6" i="5"/>
  <c r="AF6" i="5"/>
  <c r="AE6" i="5"/>
  <c r="AH4" i="5"/>
  <c r="AG4" i="5"/>
  <c r="AF4" i="5"/>
  <c r="AE4" i="5"/>
  <c r="R5" i="6"/>
  <c r="R7" i="6"/>
  <c r="R8" i="6"/>
  <c r="R10" i="6"/>
  <c r="R11" i="6"/>
  <c r="R14" i="6"/>
  <c r="R15" i="6"/>
  <c r="R16" i="6"/>
  <c r="R17" i="6"/>
  <c r="R19" i="6"/>
  <c r="R20" i="6"/>
  <c r="R22" i="6"/>
  <c r="R23" i="6"/>
  <c r="R24" i="6"/>
  <c r="R25" i="6"/>
  <c r="R26" i="6"/>
  <c r="R27" i="6"/>
  <c r="R29" i="6"/>
  <c r="R30" i="6"/>
  <c r="R32" i="6"/>
  <c r="R36" i="6"/>
  <c r="R42" i="6"/>
  <c r="R47" i="6"/>
  <c r="R50" i="6"/>
  <c r="R51" i="6"/>
  <c r="R59" i="6"/>
  <c r="AF24" i="3" l="1"/>
  <c r="AG12" i="3"/>
  <c r="AF5" i="5"/>
  <c r="AF18" i="5" s="1"/>
  <c r="AG5" i="5"/>
  <c r="AG18" i="5" s="1"/>
  <c r="AH5" i="5"/>
  <c r="AH18" i="5" s="1"/>
  <c r="AE5" i="5"/>
  <c r="AE18" i="5" s="1"/>
  <c r="AI12" i="3"/>
  <c r="AE21" i="3"/>
  <c r="AF21" i="3"/>
  <c r="AE12" i="3"/>
  <c r="R9" i="6"/>
  <c r="P10" i="12"/>
  <c r="P20" i="12"/>
  <c r="AG21" i="3"/>
  <c r="AE24" i="3"/>
  <c r="AG27" i="3"/>
  <c r="AF12" i="3"/>
  <c r="AH29" i="3"/>
  <c r="AH27" i="3" s="1"/>
  <c r="AH12" i="3"/>
  <c r="AG24" i="3"/>
  <c r="AF27" i="3"/>
  <c r="AF30" i="3" s="1"/>
  <c r="AF37" i="3" s="1"/>
  <c r="R21" i="6"/>
  <c r="AH21" i="3"/>
  <c r="AE30" i="3"/>
  <c r="AE37" i="3" s="1"/>
  <c r="AI21" i="3"/>
  <c r="AH26" i="3"/>
  <c r="AH24" i="3" s="1"/>
  <c r="AI29" i="3"/>
  <c r="AI27" i="3" s="1"/>
  <c r="AI26" i="3"/>
  <c r="AI24" i="3" s="1"/>
  <c r="R44" i="6"/>
  <c r="R56" i="6" s="1"/>
  <c r="R66" i="6" s="1"/>
  <c r="R69" i="6" s="1"/>
  <c r="R71" i="6" s="1"/>
  <c r="R73" i="6" s="1"/>
  <c r="AH30" i="3" l="1"/>
  <c r="AH37" i="3" s="1"/>
  <c r="AG30" i="3"/>
  <c r="AG37" i="3" s="1"/>
  <c r="AI30" i="3"/>
  <c r="AI37" i="3" s="1"/>
  <c r="R76" i="6"/>
  <c r="O51" i="12" l="1"/>
  <c r="N51" i="12"/>
  <c r="M51" i="12"/>
  <c r="L51" i="12"/>
  <c r="K51" i="12"/>
  <c r="O44" i="12"/>
  <c r="N44" i="12"/>
  <c r="M44" i="12"/>
  <c r="L44" i="12"/>
  <c r="K44" i="12"/>
  <c r="O37" i="12"/>
  <c r="N37" i="12"/>
  <c r="M37" i="12"/>
  <c r="L37" i="12"/>
  <c r="K37" i="12"/>
  <c r="O30" i="12"/>
  <c r="N30" i="12"/>
  <c r="M30" i="12"/>
  <c r="L30" i="12"/>
  <c r="K30" i="12"/>
  <c r="M24" i="12"/>
  <c r="L24" i="12"/>
  <c r="O17" i="12"/>
  <c r="N17" i="12"/>
  <c r="M17" i="12"/>
  <c r="L17" i="12"/>
  <c r="K17" i="12"/>
  <c r="O14" i="12"/>
  <c r="N14" i="12"/>
  <c r="M14" i="12"/>
  <c r="L14" i="12"/>
  <c r="L20" i="12" s="1"/>
  <c r="K14" i="12"/>
  <c r="O7" i="12"/>
  <c r="N7" i="12"/>
  <c r="M7" i="12"/>
  <c r="L7" i="12"/>
  <c r="K7" i="12"/>
  <c r="O4" i="12"/>
  <c r="N4" i="12"/>
  <c r="M4" i="12"/>
  <c r="L4" i="12"/>
  <c r="K4" i="12"/>
  <c r="K10" i="12" l="1"/>
  <c r="O10" i="12"/>
  <c r="N20" i="12"/>
  <c r="L10" i="12"/>
  <c r="M20" i="12"/>
  <c r="M10" i="12"/>
  <c r="N10" i="12"/>
  <c r="K20" i="12"/>
  <c r="O20" i="12"/>
  <c r="AH53" i="3" l="1"/>
  <c r="AG53" i="3"/>
  <c r="AD48" i="3"/>
  <c r="AC48" i="3"/>
  <c r="AB48" i="3"/>
  <c r="AA48" i="3"/>
  <c r="AD35" i="3"/>
  <c r="AC35" i="3"/>
  <c r="AB35" i="3"/>
  <c r="AA35" i="3"/>
  <c r="AD29" i="3"/>
  <c r="AC29" i="3"/>
  <c r="AB29" i="3"/>
  <c r="AA29" i="3"/>
  <c r="AD28" i="3"/>
  <c r="AC28" i="3"/>
  <c r="AB28" i="3"/>
  <c r="AA28" i="3"/>
  <c r="AD26" i="3"/>
  <c r="AC26" i="3"/>
  <c r="AB26" i="3"/>
  <c r="AA26" i="3"/>
  <c r="AD25" i="3"/>
  <c r="AC25" i="3"/>
  <c r="AB25" i="3"/>
  <c r="AA25" i="3"/>
  <c r="AD18" i="3"/>
  <c r="AC18" i="3"/>
  <c r="AB18" i="3"/>
  <c r="AA18" i="3"/>
  <c r="AD15" i="3"/>
  <c r="AC15" i="3"/>
  <c r="AB15" i="3"/>
  <c r="AA15" i="3"/>
  <c r="AD9" i="3"/>
  <c r="AC9" i="3"/>
  <c r="AB9" i="3"/>
  <c r="AA9" i="3"/>
  <c r="AD6" i="3"/>
  <c r="AC6" i="3"/>
  <c r="AB6" i="3"/>
  <c r="AA6" i="3"/>
  <c r="AD26" i="5"/>
  <c r="AD39" i="5" s="1"/>
  <c r="AC26" i="5"/>
  <c r="AC39" i="5" s="1"/>
  <c r="AB26" i="5"/>
  <c r="AB39" i="5" s="1"/>
  <c r="AA26" i="5"/>
  <c r="AA39" i="5" s="1"/>
  <c r="AD17" i="5"/>
  <c r="AC17" i="5"/>
  <c r="AB17" i="5"/>
  <c r="AA17" i="5"/>
  <c r="AD16" i="5"/>
  <c r="AC16" i="5"/>
  <c r="AB16" i="5"/>
  <c r="AA16" i="5"/>
  <c r="AD15" i="5"/>
  <c r="AC15" i="5"/>
  <c r="AB15" i="5"/>
  <c r="AA15" i="5"/>
  <c r="AD14" i="5"/>
  <c r="AC14" i="5"/>
  <c r="AB14" i="5"/>
  <c r="AA14" i="5"/>
  <c r="AD13" i="5"/>
  <c r="AC13" i="5"/>
  <c r="AB13" i="5"/>
  <c r="AA13" i="5"/>
  <c r="AD12" i="5"/>
  <c r="AC12" i="5"/>
  <c r="AB12" i="5"/>
  <c r="AA12" i="5"/>
  <c r="AD11" i="5"/>
  <c r="AC11" i="5"/>
  <c r="AB11" i="5"/>
  <c r="AA11" i="5"/>
  <c r="AD10" i="5"/>
  <c r="AC10" i="5"/>
  <c r="AB10" i="5"/>
  <c r="AA10" i="5"/>
  <c r="AD9" i="5"/>
  <c r="AC9" i="5"/>
  <c r="AB9" i="5"/>
  <c r="AA9" i="5"/>
  <c r="AD8" i="5"/>
  <c r="AC8" i="5"/>
  <c r="AB8" i="5"/>
  <c r="AA8" i="5"/>
  <c r="AD7" i="5"/>
  <c r="AC7" i="5"/>
  <c r="AB7" i="5"/>
  <c r="AA7" i="5"/>
  <c r="AD6" i="5"/>
  <c r="AC6" i="5"/>
  <c r="AB6" i="5"/>
  <c r="AA6" i="5"/>
  <c r="AD4" i="5"/>
  <c r="AC4" i="5"/>
  <c r="AB4" i="5"/>
  <c r="AA4" i="5"/>
  <c r="AD80" i="4"/>
  <c r="AC80" i="4"/>
  <c r="AB80" i="4"/>
  <c r="AA80" i="4"/>
  <c r="AD79" i="4"/>
  <c r="AC79" i="4"/>
  <c r="AB79" i="4"/>
  <c r="AA79" i="4"/>
  <c r="AD78" i="4"/>
  <c r="AC78" i="4"/>
  <c r="AB78" i="4"/>
  <c r="AA78" i="4"/>
  <c r="AD77" i="4"/>
  <c r="AC77" i="4"/>
  <c r="AB77" i="4"/>
  <c r="AA77" i="4"/>
  <c r="AD76" i="4"/>
  <c r="AC76" i="4"/>
  <c r="AB76" i="4"/>
  <c r="AA76" i="4"/>
  <c r="AD75" i="4"/>
  <c r="AC75" i="4"/>
  <c r="AB75" i="4"/>
  <c r="AA75" i="4"/>
  <c r="AD74" i="4"/>
  <c r="AC74" i="4"/>
  <c r="AB74" i="4"/>
  <c r="AA74" i="4"/>
  <c r="AD73" i="4"/>
  <c r="AC73" i="4"/>
  <c r="AB73" i="4"/>
  <c r="AA73" i="4"/>
  <c r="AD72" i="4"/>
  <c r="AC72" i="4"/>
  <c r="AB72" i="4"/>
  <c r="AA72" i="4"/>
  <c r="AD71" i="4"/>
  <c r="AC71" i="4"/>
  <c r="AB71" i="4"/>
  <c r="AA71" i="4"/>
  <c r="AD68" i="4"/>
  <c r="AC68" i="4"/>
  <c r="AB68" i="4"/>
  <c r="AA68" i="4"/>
  <c r="AD55" i="4"/>
  <c r="AC55" i="4"/>
  <c r="AB55" i="4"/>
  <c r="AA55" i="4"/>
  <c r="AD26" i="4"/>
  <c r="AC26" i="4"/>
  <c r="AB26" i="4"/>
  <c r="AA26" i="4"/>
  <c r="AD25" i="4"/>
  <c r="AC25" i="4"/>
  <c r="AB25" i="4"/>
  <c r="AA25" i="4"/>
  <c r="AD24" i="4"/>
  <c r="AC24" i="4"/>
  <c r="AB24" i="4"/>
  <c r="AA24" i="4"/>
  <c r="AD23" i="4"/>
  <c r="AC23" i="4"/>
  <c r="AB23" i="4"/>
  <c r="AA23" i="4"/>
  <c r="AD22" i="4"/>
  <c r="AC22" i="4"/>
  <c r="AB22" i="4"/>
  <c r="AA22" i="4"/>
  <c r="AD21" i="4"/>
  <c r="AC21" i="4"/>
  <c r="AB21" i="4"/>
  <c r="AA21" i="4"/>
  <c r="AD20" i="4"/>
  <c r="AC20" i="4"/>
  <c r="AB20" i="4"/>
  <c r="AA20" i="4"/>
  <c r="AD19" i="4"/>
  <c r="AC19" i="4"/>
  <c r="AB19" i="4"/>
  <c r="AA19" i="4"/>
  <c r="AD18" i="4"/>
  <c r="AC18" i="4"/>
  <c r="AB18" i="4"/>
  <c r="AA18" i="4"/>
  <c r="AD17" i="4"/>
  <c r="AC17" i="4"/>
  <c r="AB17" i="4"/>
  <c r="AA17" i="4"/>
  <c r="AD13" i="4"/>
  <c r="AC13" i="4"/>
  <c r="AC39" i="4" s="1"/>
  <c r="AB13" i="4"/>
  <c r="AB39" i="4" s="1"/>
  <c r="AA13" i="4"/>
  <c r="AA39" i="4" s="1"/>
  <c r="AD12" i="4"/>
  <c r="AD38" i="4" s="1"/>
  <c r="AC12" i="4"/>
  <c r="AB12" i="4"/>
  <c r="AA12" i="4"/>
  <c r="AD11" i="4"/>
  <c r="AC11" i="4"/>
  <c r="AB11" i="4"/>
  <c r="AA11" i="4"/>
  <c r="AD10" i="4"/>
  <c r="AC10" i="4"/>
  <c r="AC36" i="4" s="1"/>
  <c r="AB10" i="4"/>
  <c r="AB36" i="4" s="1"/>
  <c r="AA10" i="4"/>
  <c r="AA36" i="4" s="1"/>
  <c r="AD9" i="4"/>
  <c r="AD35" i="4" s="1"/>
  <c r="AC9" i="4"/>
  <c r="AB9" i="4"/>
  <c r="AA9" i="4"/>
  <c r="AD8" i="4"/>
  <c r="AC8" i="4"/>
  <c r="AB8" i="4"/>
  <c r="AA8" i="4"/>
  <c r="AD7" i="4"/>
  <c r="AC7" i="4"/>
  <c r="AC33" i="4" s="1"/>
  <c r="AB7" i="4"/>
  <c r="AB33" i="4" s="1"/>
  <c r="AA7" i="4"/>
  <c r="AA33" i="4" s="1"/>
  <c r="AD6" i="4"/>
  <c r="AD32" i="4" s="1"/>
  <c r="AC6" i="4"/>
  <c r="AB6" i="4"/>
  <c r="AA6" i="4"/>
  <c r="AD5" i="4"/>
  <c r="AC5" i="4"/>
  <c r="AB5" i="4"/>
  <c r="AA5" i="4"/>
  <c r="AD4" i="4"/>
  <c r="AC4" i="4"/>
  <c r="AC30" i="4" s="1"/>
  <c r="AB4" i="4"/>
  <c r="AB30" i="4" s="1"/>
  <c r="AA4" i="4"/>
  <c r="S53" i="8"/>
  <c r="S62" i="8" s="1"/>
  <c r="R53" i="8"/>
  <c r="R62" i="8" s="1"/>
  <c r="Q53" i="8"/>
  <c r="Q62" i="8" s="1"/>
  <c r="P53" i="8"/>
  <c r="P62" i="8" s="1"/>
  <c r="S46" i="8"/>
  <c r="R46" i="8"/>
  <c r="Q46" i="8"/>
  <c r="P46" i="8"/>
  <c r="S39" i="8"/>
  <c r="R39" i="8"/>
  <c r="Q39" i="8"/>
  <c r="P39" i="8"/>
  <c r="S37" i="8"/>
  <c r="R37" i="8"/>
  <c r="Q37" i="8"/>
  <c r="P37" i="8"/>
  <c r="S29" i="8"/>
  <c r="R29" i="8"/>
  <c r="Q29" i="8"/>
  <c r="P29" i="8"/>
  <c r="S28" i="8"/>
  <c r="R28" i="8"/>
  <c r="Q28" i="8"/>
  <c r="P28" i="8"/>
  <c r="S27" i="8"/>
  <c r="R27" i="8"/>
  <c r="Q27" i="8"/>
  <c r="P27" i="8"/>
  <c r="S26" i="8"/>
  <c r="R26" i="8"/>
  <c r="Q26" i="8"/>
  <c r="P26" i="8"/>
  <c r="S25" i="8"/>
  <c r="R25" i="8"/>
  <c r="Q25" i="8"/>
  <c r="P25" i="8"/>
  <c r="S24" i="8"/>
  <c r="R24" i="8"/>
  <c r="Q24" i="8"/>
  <c r="P24" i="8"/>
  <c r="S23" i="8"/>
  <c r="R23" i="8"/>
  <c r="Q23" i="8"/>
  <c r="P23" i="8"/>
  <c r="S22" i="8"/>
  <c r="R22" i="8"/>
  <c r="Q22" i="8"/>
  <c r="P22" i="8"/>
  <c r="P21" i="8" s="1"/>
  <c r="S17" i="8"/>
  <c r="R17" i="8"/>
  <c r="Q17" i="8"/>
  <c r="P17" i="8"/>
  <c r="S15" i="8"/>
  <c r="R15" i="8"/>
  <c r="Q15" i="8"/>
  <c r="P15" i="8"/>
  <c r="S13" i="8"/>
  <c r="R13" i="8"/>
  <c r="Q13" i="8"/>
  <c r="P13" i="8"/>
  <c r="S12" i="8"/>
  <c r="R12" i="8"/>
  <c r="Q12" i="8"/>
  <c r="P12" i="8"/>
  <c r="S11" i="8"/>
  <c r="R11" i="8"/>
  <c r="Q11" i="8"/>
  <c r="P11" i="8"/>
  <c r="S10" i="8"/>
  <c r="R10" i="8"/>
  <c r="Q10" i="8"/>
  <c r="P10" i="8"/>
  <c r="S9" i="8"/>
  <c r="R9" i="8"/>
  <c r="Q9" i="8"/>
  <c r="P9" i="8"/>
  <c r="S8" i="8"/>
  <c r="R8" i="8"/>
  <c r="Q8" i="8"/>
  <c r="P8" i="8"/>
  <c r="S6" i="8"/>
  <c r="S5" i="8" s="1"/>
  <c r="R6" i="8"/>
  <c r="R5" i="8" s="1"/>
  <c r="Q6" i="8"/>
  <c r="Q5" i="8" s="1"/>
  <c r="P6" i="8"/>
  <c r="P5" i="8" s="1"/>
  <c r="Q59" i="6"/>
  <c r="P59" i="6"/>
  <c r="O59" i="6"/>
  <c r="Q51" i="6"/>
  <c r="R13" i="6" s="1"/>
  <c r="P51" i="6"/>
  <c r="O51" i="6"/>
  <c r="O13" i="6" s="1"/>
  <c r="Q50" i="6"/>
  <c r="R12" i="6" s="1"/>
  <c r="P50" i="6"/>
  <c r="O50" i="6"/>
  <c r="Q47" i="6"/>
  <c r="P47" i="6"/>
  <c r="O47" i="6"/>
  <c r="Q42" i="6"/>
  <c r="R4" i="6" s="1"/>
  <c r="R6" i="6" s="1"/>
  <c r="P42" i="6"/>
  <c r="P44" i="6" s="1"/>
  <c r="O42" i="6"/>
  <c r="O44" i="6" s="1"/>
  <c r="Q36" i="6"/>
  <c r="P36" i="6"/>
  <c r="O36" i="6"/>
  <c r="Q32" i="6"/>
  <c r="P32" i="6"/>
  <c r="O32" i="6"/>
  <c r="Q30" i="6"/>
  <c r="P30" i="6"/>
  <c r="O30" i="6"/>
  <c r="Q29" i="6"/>
  <c r="P29" i="6"/>
  <c r="O29" i="6"/>
  <c r="Q27" i="6"/>
  <c r="P27" i="6"/>
  <c r="O27" i="6"/>
  <c r="Q26" i="6"/>
  <c r="P26" i="6"/>
  <c r="O26" i="6"/>
  <c r="Q25" i="6"/>
  <c r="P25" i="6"/>
  <c r="O25" i="6"/>
  <c r="Q24" i="6"/>
  <c r="P24" i="6"/>
  <c r="O24" i="6"/>
  <c r="Q23" i="6"/>
  <c r="P23" i="6"/>
  <c r="O23" i="6"/>
  <c r="Q22" i="6"/>
  <c r="P22" i="6"/>
  <c r="O22" i="6"/>
  <c r="Q20" i="6"/>
  <c r="P20" i="6"/>
  <c r="O20" i="6"/>
  <c r="Q19" i="6"/>
  <c r="P19" i="6"/>
  <c r="O19" i="6"/>
  <c r="Q17" i="6"/>
  <c r="P17" i="6"/>
  <c r="O17" i="6"/>
  <c r="Q16" i="6"/>
  <c r="P16" i="6"/>
  <c r="O16" i="6"/>
  <c r="Q15" i="6"/>
  <c r="P15" i="6"/>
  <c r="O15" i="6"/>
  <c r="Q14" i="6"/>
  <c r="P14" i="6"/>
  <c r="O14" i="6"/>
  <c r="Q11" i="6"/>
  <c r="P11" i="6"/>
  <c r="O11" i="6"/>
  <c r="Q10" i="6"/>
  <c r="P10" i="6"/>
  <c r="O10" i="6"/>
  <c r="Q8" i="6"/>
  <c r="P8" i="6"/>
  <c r="O8" i="6"/>
  <c r="Q7" i="6"/>
  <c r="P7" i="6"/>
  <c r="O7" i="6"/>
  <c r="Q5" i="6"/>
  <c r="P5" i="6"/>
  <c r="O5" i="6"/>
  <c r="AD5" i="5" l="1"/>
  <c r="AD18" i="5" s="1"/>
  <c r="AD30" i="4"/>
  <c r="AD33" i="4"/>
  <c r="AD36" i="4"/>
  <c r="AD40" i="4" s="1"/>
  <c r="AD39" i="4"/>
  <c r="AA31" i="4"/>
  <c r="AA34" i="4"/>
  <c r="AA37" i="4"/>
  <c r="AB31" i="4"/>
  <c r="AB34" i="4"/>
  <c r="AB37" i="4"/>
  <c r="AC31" i="4"/>
  <c r="AC34" i="4"/>
  <c r="AC37" i="4"/>
  <c r="AC27" i="3"/>
  <c r="AD27" i="3"/>
  <c r="AD31" i="4"/>
  <c r="AD34" i="4"/>
  <c r="AD37" i="4"/>
  <c r="AA32" i="4"/>
  <c r="AA35" i="4"/>
  <c r="AA38" i="4"/>
  <c r="AB32" i="4"/>
  <c r="AB38" i="4"/>
  <c r="AB35" i="4"/>
  <c r="AC32" i="4"/>
  <c r="AC35" i="4"/>
  <c r="AC38" i="4"/>
  <c r="P7" i="8"/>
  <c r="O21" i="6"/>
  <c r="AB12" i="3"/>
  <c r="AB21" i="3"/>
  <c r="AA27" i="4"/>
  <c r="AA81" i="4"/>
  <c r="AB27" i="4"/>
  <c r="AB81" i="4"/>
  <c r="Q7" i="8"/>
  <c r="AB24" i="3"/>
  <c r="AB30" i="3" s="1"/>
  <c r="AB37" i="3" s="1"/>
  <c r="AB27" i="3"/>
  <c r="AC24" i="3"/>
  <c r="AC30" i="3" s="1"/>
  <c r="AC37" i="3" s="1"/>
  <c r="AA12" i="3"/>
  <c r="AA21" i="3"/>
  <c r="AA5" i="5"/>
  <c r="AA18" i="5" s="1"/>
  <c r="AB5" i="5"/>
  <c r="AB18" i="5" s="1"/>
  <c r="AA14" i="4"/>
  <c r="R7" i="8"/>
  <c r="S7" i="8"/>
  <c r="S14" i="8"/>
  <c r="S18" i="8" s="1"/>
  <c r="Q21" i="6"/>
  <c r="Q4" i="6"/>
  <c r="Q6" i="6" s="1"/>
  <c r="AC12" i="3"/>
  <c r="AC21" i="3"/>
  <c r="AA24" i="3"/>
  <c r="AD12" i="3"/>
  <c r="AD21" i="3"/>
  <c r="AA27" i="3"/>
  <c r="AA30" i="3" s="1"/>
  <c r="AA37" i="3" s="1"/>
  <c r="AD24" i="3"/>
  <c r="AD30" i="3" s="1"/>
  <c r="AD37" i="3" s="1"/>
  <c r="AC5" i="5"/>
  <c r="AC18" i="5" s="1"/>
  <c r="AC27" i="4"/>
  <c r="AC81" i="4"/>
  <c r="AD27" i="4"/>
  <c r="AD81" i="4"/>
  <c r="R14" i="8"/>
  <c r="Q21" i="8"/>
  <c r="Q30" i="8" s="1"/>
  <c r="P50" i="8"/>
  <c r="Q50" i="8"/>
  <c r="P14" i="8"/>
  <c r="P18" i="8" s="1"/>
  <c r="R21" i="8"/>
  <c r="R30" i="8" s="1"/>
  <c r="R50" i="8"/>
  <c r="Q14" i="8"/>
  <c r="S21" i="8"/>
  <c r="S30" i="8" s="1"/>
  <c r="S50" i="8"/>
  <c r="P30" i="8"/>
  <c r="O4" i="6"/>
  <c r="O6" i="6" s="1"/>
  <c r="P12" i="6"/>
  <c r="P13" i="6"/>
  <c r="O12" i="6"/>
  <c r="R18" i="6"/>
  <c r="R28" i="6" s="1"/>
  <c r="R31" i="6" s="1"/>
  <c r="R33" i="6" s="1"/>
  <c r="O56" i="6"/>
  <c r="O66" i="6" s="1"/>
  <c r="O69" i="6" s="1"/>
  <c r="O71" i="6" s="1"/>
  <c r="O73" i="6" s="1"/>
  <c r="O9" i="6"/>
  <c r="Q12" i="6"/>
  <c r="P21" i="6"/>
  <c r="Q13" i="6"/>
  <c r="P9" i="6"/>
  <c r="Q9" i="6"/>
  <c r="P4" i="6"/>
  <c r="P6" i="6" s="1"/>
  <c r="AA30" i="4"/>
  <c r="AB14" i="4"/>
  <c r="AD14" i="4"/>
  <c r="AC14" i="4"/>
  <c r="Q44" i="6"/>
  <c r="Q56" i="6" s="1"/>
  <c r="Q66" i="6" s="1"/>
  <c r="Q69" i="6" s="1"/>
  <c r="Q71" i="6" s="1"/>
  <c r="Q73" i="6" s="1"/>
  <c r="R35" i="6" s="1"/>
  <c r="P56" i="6"/>
  <c r="P66" i="6" s="1"/>
  <c r="P69" i="6" s="1"/>
  <c r="P71" i="6" s="1"/>
  <c r="P73" i="6" s="1"/>
  <c r="AB40" i="4" l="1"/>
  <c r="AA40" i="4"/>
  <c r="AC40" i="4"/>
  <c r="R18" i="8"/>
  <c r="Q18" i="8"/>
  <c r="O18" i="6"/>
  <c r="O28" i="6" s="1"/>
  <c r="O31" i="6" s="1"/>
  <c r="O33" i="6" s="1"/>
  <c r="Q18" i="6"/>
  <c r="Q28" i="6" s="1"/>
  <c r="Q31" i="6" s="1"/>
  <c r="Q33" i="6" s="1"/>
  <c r="P18" i="6"/>
  <c r="P28" i="6" s="1"/>
  <c r="P31" i="6" s="1"/>
  <c r="P33" i="6" s="1"/>
  <c r="Q35" i="6"/>
  <c r="Q76" i="6"/>
  <c r="O35" i="6"/>
  <c r="O76" i="6"/>
  <c r="P35" i="6"/>
  <c r="P76" i="6"/>
  <c r="AF53" i="3" l="1"/>
  <c r="O53" i="8"/>
  <c r="O62" i="8" s="1"/>
  <c r="N53" i="8"/>
  <c r="N62" i="8" s="1"/>
  <c r="M53" i="8"/>
  <c r="M62" i="8" s="1"/>
  <c r="L53" i="8"/>
  <c r="L62" i="8" s="1"/>
  <c r="K53" i="8"/>
  <c r="K62" i="8" s="1"/>
  <c r="J53" i="8"/>
  <c r="J62" i="8" s="1"/>
  <c r="I53" i="8"/>
  <c r="I62" i="8" s="1"/>
  <c r="H53" i="8"/>
  <c r="H62" i="8" s="1"/>
  <c r="G53" i="8"/>
  <c r="G62" i="8" s="1"/>
  <c r="F53" i="8"/>
  <c r="F62" i="8" s="1"/>
  <c r="E53" i="8"/>
  <c r="E62" i="8" s="1"/>
  <c r="D53" i="8"/>
  <c r="D62" i="8" s="1"/>
  <c r="C53" i="8"/>
  <c r="C62" i="8" s="1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O37" i="8"/>
  <c r="N37" i="8"/>
  <c r="M37" i="8"/>
  <c r="L37" i="8"/>
  <c r="K37" i="8"/>
  <c r="J37" i="8"/>
  <c r="J50" i="8" s="1"/>
  <c r="I37" i="8"/>
  <c r="H37" i="8"/>
  <c r="G37" i="8"/>
  <c r="F37" i="8"/>
  <c r="E37" i="8"/>
  <c r="D37" i="8"/>
  <c r="C37" i="8"/>
  <c r="O29" i="8"/>
  <c r="N29" i="8"/>
  <c r="L29" i="8"/>
  <c r="M29" i="8" s="1"/>
  <c r="K29" i="8"/>
  <c r="J29" i="8"/>
  <c r="O28" i="8"/>
  <c r="N28" i="8"/>
  <c r="L28" i="8"/>
  <c r="M28" i="8" s="1"/>
  <c r="K28" i="8"/>
  <c r="J28" i="8"/>
  <c r="O27" i="8"/>
  <c r="N27" i="8"/>
  <c r="L27" i="8"/>
  <c r="M27" i="8" s="1"/>
  <c r="O26" i="8"/>
  <c r="N26" i="8"/>
  <c r="L26" i="8"/>
  <c r="M26" i="8" s="1"/>
  <c r="K26" i="8"/>
  <c r="J26" i="8"/>
  <c r="O25" i="8"/>
  <c r="N25" i="8"/>
  <c r="L25" i="8"/>
  <c r="M25" i="8" s="1"/>
  <c r="K25" i="8"/>
  <c r="J25" i="8"/>
  <c r="O24" i="8"/>
  <c r="N24" i="8"/>
  <c r="L24" i="8"/>
  <c r="M24" i="8" s="1"/>
  <c r="K24" i="8"/>
  <c r="J24" i="8"/>
  <c r="O23" i="8"/>
  <c r="N23" i="8"/>
  <c r="L23" i="8"/>
  <c r="M23" i="8" s="1"/>
  <c r="K23" i="8"/>
  <c r="J23" i="8"/>
  <c r="O22" i="8"/>
  <c r="N22" i="8"/>
  <c r="L22" i="8"/>
  <c r="M22" i="8" s="1"/>
  <c r="K22" i="8"/>
  <c r="J22" i="8"/>
  <c r="I21" i="8"/>
  <c r="I30" i="8" s="1"/>
  <c r="H21" i="8"/>
  <c r="H30" i="8" s="1"/>
  <c r="G21" i="8"/>
  <c r="G30" i="8" s="1"/>
  <c r="F21" i="8"/>
  <c r="F30" i="8" s="1"/>
  <c r="E21" i="8"/>
  <c r="E30" i="8" s="1"/>
  <c r="D21" i="8"/>
  <c r="D30" i="8" s="1"/>
  <c r="O17" i="8"/>
  <c r="N17" i="8"/>
  <c r="L17" i="8"/>
  <c r="M17" i="8" s="1"/>
  <c r="K17" i="8"/>
  <c r="J17" i="8"/>
  <c r="O15" i="8"/>
  <c r="N15" i="8"/>
  <c r="L15" i="8"/>
  <c r="K15" i="8"/>
  <c r="J15" i="8"/>
  <c r="I14" i="8"/>
  <c r="H14" i="8"/>
  <c r="G14" i="8"/>
  <c r="F14" i="8"/>
  <c r="E14" i="8"/>
  <c r="D14" i="8"/>
  <c r="O13" i="8"/>
  <c r="N13" i="8"/>
  <c r="L13" i="8"/>
  <c r="M13" i="8" s="1"/>
  <c r="K13" i="8"/>
  <c r="J13" i="8"/>
  <c r="O12" i="8"/>
  <c r="N12" i="8"/>
  <c r="L12" i="8"/>
  <c r="K12" i="8"/>
  <c r="J12" i="8"/>
  <c r="O11" i="8"/>
  <c r="N11" i="8"/>
  <c r="L11" i="8"/>
  <c r="M11" i="8" s="1"/>
  <c r="K11" i="8"/>
  <c r="J11" i="8"/>
  <c r="O10" i="8"/>
  <c r="N10" i="8"/>
  <c r="L10" i="8"/>
  <c r="M10" i="8" s="1"/>
  <c r="K10" i="8"/>
  <c r="J10" i="8"/>
  <c r="O9" i="8"/>
  <c r="N9" i="8"/>
  <c r="L9" i="8"/>
  <c r="M9" i="8" s="1"/>
  <c r="K9" i="8"/>
  <c r="J9" i="8"/>
  <c r="O8" i="8"/>
  <c r="N8" i="8"/>
  <c r="L8" i="8"/>
  <c r="M8" i="8" s="1"/>
  <c r="K8" i="8"/>
  <c r="J8" i="8"/>
  <c r="I7" i="8"/>
  <c r="H7" i="8"/>
  <c r="G7" i="8"/>
  <c r="F7" i="8"/>
  <c r="E7" i="8"/>
  <c r="D7" i="8"/>
  <c r="O6" i="8"/>
  <c r="O5" i="8" s="1"/>
  <c r="N6" i="8"/>
  <c r="N5" i="8" s="1"/>
  <c r="L6" i="8"/>
  <c r="L5" i="8" s="1"/>
  <c r="K6" i="8"/>
  <c r="K5" i="8" s="1"/>
  <c r="J6" i="8"/>
  <c r="J5" i="8" s="1"/>
  <c r="I5" i="8"/>
  <c r="H5" i="8"/>
  <c r="G5" i="8"/>
  <c r="F5" i="8"/>
  <c r="E5" i="8"/>
  <c r="D5" i="8"/>
  <c r="I50" i="8" l="1"/>
  <c r="F18" i="8"/>
  <c r="H50" i="8"/>
  <c r="J14" i="8"/>
  <c r="L21" i="8"/>
  <c r="G50" i="8"/>
  <c r="O50" i="8"/>
  <c r="J7" i="8"/>
  <c r="J18" i="8" s="1"/>
  <c r="K14" i="8"/>
  <c r="O14" i="8"/>
  <c r="J21" i="8"/>
  <c r="J30" i="8" s="1"/>
  <c r="L7" i="8"/>
  <c r="L14" i="8"/>
  <c r="D50" i="8"/>
  <c r="L50" i="8"/>
  <c r="E50" i="8"/>
  <c r="M50" i="8"/>
  <c r="D18" i="8"/>
  <c r="K7" i="8"/>
  <c r="N14" i="8"/>
  <c r="K21" i="8"/>
  <c r="K30" i="8" s="1"/>
  <c r="G18" i="8"/>
  <c r="L30" i="8"/>
  <c r="M12" i="8"/>
  <c r="M7" i="8" s="1"/>
  <c r="H18" i="8"/>
  <c r="O21" i="8"/>
  <c r="O30" i="8" s="1"/>
  <c r="N21" i="8"/>
  <c r="I18" i="8"/>
  <c r="M15" i="8"/>
  <c r="M14" i="8" s="1"/>
  <c r="F50" i="8"/>
  <c r="N50" i="8"/>
  <c r="C50" i="8"/>
  <c r="K50" i="8"/>
  <c r="O7" i="8"/>
  <c r="M6" i="8"/>
  <c r="M5" i="8" s="1"/>
  <c r="N7" i="8"/>
  <c r="E18" i="8"/>
  <c r="M21" i="8"/>
  <c r="M30" i="8" s="1"/>
  <c r="N30" i="8"/>
  <c r="L18" i="8" l="1"/>
  <c r="K18" i="8"/>
  <c r="O18" i="8"/>
  <c r="N18" i="8"/>
  <c r="M18" i="8"/>
  <c r="AE53" i="3"/>
  <c r="Z80" i="4" l="1"/>
  <c r="Y80" i="4"/>
  <c r="X80" i="4"/>
  <c r="W80" i="4"/>
  <c r="Z79" i="4"/>
  <c r="Y79" i="4"/>
  <c r="X79" i="4"/>
  <c r="W79" i="4"/>
  <c r="Z78" i="4"/>
  <c r="Y78" i="4"/>
  <c r="X78" i="4"/>
  <c r="W78" i="4"/>
  <c r="Z77" i="4"/>
  <c r="Y77" i="4"/>
  <c r="X77" i="4"/>
  <c r="W77" i="4"/>
  <c r="Z76" i="4"/>
  <c r="Y76" i="4"/>
  <c r="X76" i="4"/>
  <c r="W76" i="4"/>
  <c r="Z75" i="4"/>
  <c r="Y75" i="4"/>
  <c r="X75" i="4"/>
  <c r="W75" i="4"/>
  <c r="Z74" i="4"/>
  <c r="Y74" i="4"/>
  <c r="X74" i="4"/>
  <c r="W74" i="4"/>
  <c r="Z73" i="4"/>
  <c r="Y73" i="4"/>
  <c r="X73" i="4"/>
  <c r="W73" i="4"/>
  <c r="Z72" i="4"/>
  <c r="Y72" i="4"/>
  <c r="X72" i="4"/>
  <c r="W72" i="4"/>
  <c r="Z71" i="4"/>
  <c r="Y71" i="4"/>
  <c r="X71" i="4"/>
  <c r="W71" i="4"/>
  <c r="Z68" i="4"/>
  <c r="Y68" i="4"/>
  <c r="X68" i="4"/>
  <c r="W68" i="4"/>
  <c r="Z55" i="4"/>
  <c r="Y55" i="4"/>
  <c r="X55" i="4"/>
  <c r="W55" i="4"/>
  <c r="Z26" i="4"/>
  <c r="Y26" i="4"/>
  <c r="W26" i="4"/>
  <c r="X26" i="4" s="1"/>
  <c r="Z25" i="4"/>
  <c r="Y25" i="4"/>
  <c r="W25" i="4"/>
  <c r="X25" i="4" s="1"/>
  <c r="Z24" i="4"/>
  <c r="Y24" i="4"/>
  <c r="W24" i="4"/>
  <c r="X24" i="4" s="1"/>
  <c r="Z22" i="4"/>
  <c r="Y22" i="4"/>
  <c r="W22" i="4"/>
  <c r="X22" i="4" s="1"/>
  <c r="Z21" i="4"/>
  <c r="Y21" i="4"/>
  <c r="W21" i="4"/>
  <c r="X21" i="4" s="1"/>
  <c r="Z19" i="4"/>
  <c r="Y19" i="4"/>
  <c r="W19" i="4"/>
  <c r="X19" i="4" s="1"/>
  <c r="Z18" i="4"/>
  <c r="Y18" i="4"/>
  <c r="W18" i="4"/>
  <c r="X18" i="4" s="1"/>
  <c r="Z17" i="4"/>
  <c r="Y17" i="4"/>
  <c r="W17" i="4"/>
  <c r="Z13" i="4"/>
  <c r="Z39" i="4" s="1"/>
  <c r="Y13" i="4"/>
  <c r="W13" i="4"/>
  <c r="W39" i="4" s="1"/>
  <c r="Z12" i="4"/>
  <c r="Z38" i="4" s="1"/>
  <c r="Y12" i="4"/>
  <c r="W12" i="4"/>
  <c r="Z11" i="4"/>
  <c r="Z37" i="4" s="1"/>
  <c r="Y11" i="4"/>
  <c r="W11" i="4"/>
  <c r="W37" i="4" s="1"/>
  <c r="Z10" i="4"/>
  <c r="Z36" i="4" s="1"/>
  <c r="Y10" i="4"/>
  <c r="Y36" i="4" s="1"/>
  <c r="W10" i="4"/>
  <c r="W36" i="4" s="1"/>
  <c r="Z9" i="4"/>
  <c r="Y9" i="4"/>
  <c r="W9" i="4"/>
  <c r="X9" i="4" s="1"/>
  <c r="Z8" i="4"/>
  <c r="Y8" i="4"/>
  <c r="W8" i="4"/>
  <c r="Z7" i="4"/>
  <c r="Z33" i="4" s="1"/>
  <c r="Y7" i="4"/>
  <c r="Y33" i="4" s="1"/>
  <c r="W7" i="4"/>
  <c r="W33" i="4" s="1"/>
  <c r="Z6" i="4"/>
  <c r="Y6" i="4"/>
  <c r="W6" i="4"/>
  <c r="Z5" i="4"/>
  <c r="Y5" i="4"/>
  <c r="W5" i="4"/>
  <c r="Z4" i="4"/>
  <c r="Y4" i="4"/>
  <c r="W4" i="4"/>
  <c r="Y32" i="4" l="1"/>
  <c r="Z31" i="4"/>
  <c r="Z35" i="4"/>
  <c r="Z32" i="4"/>
  <c r="W30" i="4"/>
  <c r="W31" i="4"/>
  <c r="Y30" i="4"/>
  <c r="Z30" i="4"/>
  <c r="W34" i="4"/>
  <c r="Y34" i="4"/>
  <c r="Y31" i="4"/>
  <c r="Z34" i="4"/>
  <c r="W32" i="4"/>
  <c r="X35" i="4"/>
  <c r="W38" i="4"/>
  <c r="Z27" i="4"/>
  <c r="X5" i="4"/>
  <c r="X31" i="4" s="1"/>
  <c r="X7" i="4"/>
  <c r="X33" i="4" s="1"/>
  <c r="X11" i="4"/>
  <c r="X37" i="4" s="1"/>
  <c r="X13" i="4"/>
  <c r="X39" i="4" s="1"/>
  <c r="W35" i="4"/>
  <c r="Y35" i="4"/>
  <c r="Y37" i="4"/>
  <c r="Y39" i="4"/>
  <c r="W27" i="4"/>
  <c r="X4" i="4"/>
  <c r="X6" i="4"/>
  <c r="X32" i="4" s="1"/>
  <c r="X8" i="4"/>
  <c r="X34" i="4" s="1"/>
  <c r="X10" i="4"/>
  <c r="X36" i="4" s="1"/>
  <c r="X12" i="4"/>
  <c r="X38" i="4" s="1"/>
  <c r="X17" i="4"/>
  <c r="X27" i="4" s="1"/>
  <c r="Y38" i="4"/>
  <c r="Y27" i="4"/>
  <c r="W81" i="4"/>
  <c r="X81" i="4"/>
  <c r="Y81" i="4"/>
  <c r="Z81" i="4"/>
  <c r="W14" i="4"/>
  <c r="Y14" i="4"/>
  <c r="Z14" i="4"/>
  <c r="Z40" i="4" l="1"/>
  <c r="W40" i="4"/>
  <c r="Y40" i="4"/>
  <c r="X30" i="4"/>
  <c r="X40" i="4" s="1"/>
  <c r="X14" i="4"/>
  <c r="X4" i="5"/>
  <c r="X6" i="5"/>
  <c r="X7" i="5"/>
  <c r="X8" i="5"/>
  <c r="X9" i="5"/>
  <c r="X10" i="5"/>
  <c r="X11" i="5"/>
  <c r="X12" i="5"/>
  <c r="X13" i="5"/>
  <c r="X14" i="5"/>
  <c r="X15" i="5"/>
  <c r="X16" i="5"/>
  <c r="X17" i="5"/>
  <c r="Y42" i="5"/>
  <c r="X5" i="5" l="1"/>
  <c r="X18" i="5" s="1"/>
  <c r="Z26" i="5"/>
  <c r="Z39" i="5" s="1"/>
  <c r="Y26" i="5"/>
  <c r="Y39" i="5" s="1"/>
  <c r="X26" i="5"/>
  <c r="X39" i="5" s="1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Z10" i="5"/>
  <c r="Y10" i="5"/>
  <c r="Z9" i="5"/>
  <c r="Y9" i="5"/>
  <c r="Z8" i="5"/>
  <c r="Y8" i="5"/>
  <c r="Z7" i="5"/>
  <c r="Y7" i="5"/>
  <c r="Z6" i="5"/>
  <c r="Y6" i="5"/>
  <c r="Z4" i="5"/>
  <c r="Y4" i="5"/>
  <c r="Y5" i="5" l="1"/>
  <c r="Y18" i="5" s="1"/>
  <c r="Z5" i="5"/>
  <c r="Z18" i="5" s="1"/>
  <c r="AD53" i="3"/>
  <c r="AC53" i="3" l="1"/>
  <c r="AB53" i="3" l="1"/>
  <c r="Z11" i="3" l="1"/>
  <c r="Z7" i="3"/>
  <c r="S34" i="3" l="1"/>
  <c r="S35" i="3" s="1"/>
  <c r="R18" i="3"/>
  <c r="R15" i="3"/>
  <c r="R6" i="3"/>
  <c r="R9" i="3"/>
  <c r="R21" i="3" l="1"/>
  <c r="R12" i="3"/>
  <c r="V18" i="3" l="1"/>
  <c r="W18" i="3"/>
  <c r="V26" i="3"/>
  <c r="T9" i="3"/>
  <c r="U9" i="3"/>
  <c r="V28" i="3"/>
  <c r="W9" i="3"/>
  <c r="Y9" i="3"/>
  <c r="Z9" i="3"/>
  <c r="U29" i="3"/>
  <c r="V29" i="3"/>
  <c r="W29" i="3"/>
  <c r="Z29" i="3"/>
  <c r="T25" i="3"/>
  <c r="V6" i="3"/>
  <c r="V12" i="3" s="1"/>
  <c r="W6" i="3"/>
  <c r="Z6" i="3"/>
  <c r="X6" i="3"/>
  <c r="Y6" i="3"/>
  <c r="S28" i="3"/>
  <c r="S27" i="3" s="1"/>
  <c r="T28" i="3"/>
  <c r="W28" i="3"/>
  <c r="X28" i="3"/>
  <c r="Y28" i="3"/>
  <c r="Y27" i="3" s="1"/>
  <c r="S29" i="3"/>
  <c r="T29" i="3"/>
  <c r="X29" i="3"/>
  <c r="Y29" i="3"/>
  <c r="S25" i="3"/>
  <c r="V25" i="3"/>
  <c r="W25" i="3"/>
  <c r="W24" i="3" s="1"/>
  <c r="X25" i="3"/>
  <c r="Y25" i="3"/>
  <c r="S26" i="3"/>
  <c r="T26" i="3"/>
  <c r="U26" i="3"/>
  <c r="W26" i="3"/>
  <c r="X26" i="3"/>
  <c r="Y26" i="3"/>
  <c r="Z26" i="3"/>
  <c r="S18" i="3"/>
  <c r="S15" i="3"/>
  <c r="T18" i="3"/>
  <c r="U18" i="3"/>
  <c r="T15" i="3"/>
  <c r="U15" i="3"/>
  <c r="V15" i="3"/>
  <c r="V21" i="3" s="1"/>
  <c r="S9" i="3"/>
  <c r="V9" i="3"/>
  <c r="S6" i="3"/>
  <c r="T6" i="3"/>
  <c r="X18" i="3"/>
  <c r="Y18" i="3"/>
  <c r="Z18" i="3"/>
  <c r="W15" i="3"/>
  <c r="W21" i="3" s="1"/>
  <c r="X15" i="3"/>
  <c r="X21" i="3" s="1"/>
  <c r="Y15" i="3"/>
  <c r="Z15" i="3"/>
  <c r="X9" i="3"/>
  <c r="AA53" i="3"/>
  <c r="N59" i="6"/>
  <c r="N51" i="6"/>
  <c r="Y53" i="3"/>
  <c r="Z35" i="3"/>
  <c r="Z53" i="3"/>
  <c r="Z48" i="3"/>
  <c r="N25" i="6"/>
  <c r="N32" i="6"/>
  <c r="N30" i="6"/>
  <c r="N29" i="6"/>
  <c r="N27" i="6"/>
  <c r="N26" i="6"/>
  <c r="N24" i="6"/>
  <c r="N22" i="6"/>
  <c r="N20" i="6"/>
  <c r="N19" i="6"/>
  <c r="N14" i="6"/>
  <c r="N17" i="6"/>
  <c r="N16" i="6"/>
  <c r="N15" i="6"/>
  <c r="N11" i="6"/>
  <c r="N10" i="6"/>
  <c r="N8" i="6"/>
  <c r="N7" i="6"/>
  <c r="N5" i="6"/>
  <c r="N36" i="6"/>
  <c r="Y48" i="3"/>
  <c r="Y35" i="3"/>
  <c r="M59" i="6"/>
  <c r="M51" i="6"/>
  <c r="M36" i="6"/>
  <c r="L36" i="6"/>
  <c r="M32" i="6"/>
  <c r="L32" i="6"/>
  <c r="M30" i="6"/>
  <c r="L30" i="6"/>
  <c r="M29" i="6"/>
  <c r="L29" i="6"/>
  <c r="M27" i="6"/>
  <c r="L27" i="6"/>
  <c r="M26" i="6"/>
  <c r="L26" i="6"/>
  <c r="M24" i="6"/>
  <c r="L24" i="6"/>
  <c r="M22" i="6"/>
  <c r="L22" i="6"/>
  <c r="M20" i="6"/>
  <c r="L20" i="6"/>
  <c r="M19" i="6"/>
  <c r="L19" i="6"/>
  <c r="M17" i="6"/>
  <c r="L17" i="6"/>
  <c r="M16" i="6"/>
  <c r="L16" i="6"/>
  <c r="M15" i="6"/>
  <c r="L15" i="6"/>
  <c r="M14" i="6"/>
  <c r="L14" i="6"/>
  <c r="M11" i="6"/>
  <c r="L11" i="6"/>
  <c r="M10" i="6"/>
  <c r="L10" i="6"/>
  <c r="M8" i="6"/>
  <c r="L8" i="6"/>
  <c r="M7" i="6"/>
  <c r="L7" i="6"/>
  <c r="M5" i="6"/>
  <c r="L5" i="6"/>
  <c r="L59" i="6"/>
  <c r="L51" i="6"/>
  <c r="W56" i="3"/>
  <c r="W53" i="3" s="1"/>
  <c r="K32" i="6"/>
  <c r="K30" i="6"/>
  <c r="K29" i="6"/>
  <c r="K27" i="6"/>
  <c r="K26" i="6"/>
  <c r="K24" i="6"/>
  <c r="K22" i="6"/>
  <c r="K20" i="6"/>
  <c r="K19" i="6"/>
  <c r="K17" i="6"/>
  <c r="K16" i="6"/>
  <c r="K15" i="6"/>
  <c r="K14" i="6"/>
  <c r="K11" i="6"/>
  <c r="K10" i="6"/>
  <c r="K8" i="6"/>
  <c r="K7" i="6"/>
  <c r="K5" i="6"/>
  <c r="K51" i="6"/>
  <c r="K12" i="6"/>
  <c r="K4" i="6"/>
  <c r="K6" i="6" s="1"/>
  <c r="W35" i="3"/>
  <c r="W48" i="3"/>
  <c r="W17" i="5"/>
  <c r="W16" i="5"/>
  <c r="W15" i="5"/>
  <c r="W14" i="5"/>
  <c r="W13" i="5"/>
  <c r="W12" i="5"/>
  <c r="W11" i="5"/>
  <c r="W10" i="5"/>
  <c r="W9" i="5"/>
  <c r="W8" i="5"/>
  <c r="W7" i="5"/>
  <c r="W6" i="5"/>
  <c r="W4" i="5"/>
  <c r="W26" i="5"/>
  <c r="W39" i="5" s="1"/>
  <c r="K36" i="6"/>
  <c r="K59" i="6"/>
  <c r="V48" i="3"/>
  <c r="V35" i="3"/>
  <c r="V17" i="5"/>
  <c r="V16" i="5"/>
  <c r="V15" i="5"/>
  <c r="V14" i="5"/>
  <c r="V13" i="5"/>
  <c r="V12" i="5"/>
  <c r="V11" i="5"/>
  <c r="V10" i="5"/>
  <c r="V9" i="5"/>
  <c r="V8" i="5"/>
  <c r="V7" i="5"/>
  <c r="V6" i="5"/>
  <c r="V4" i="5"/>
  <c r="V26" i="5"/>
  <c r="V39" i="5" s="1"/>
  <c r="V26" i="4"/>
  <c r="V25" i="4"/>
  <c r="V24" i="4"/>
  <c r="V21" i="4"/>
  <c r="V19" i="4"/>
  <c r="V18" i="4"/>
  <c r="V17" i="4"/>
  <c r="V13" i="4"/>
  <c r="V12" i="4"/>
  <c r="V11" i="4"/>
  <c r="V10" i="4"/>
  <c r="V36" i="4" s="1"/>
  <c r="V9" i="4"/>
  <c r="V35" i="4" s="1"/>
  <c r="V8" i="4"/>
  <c r="V7" i="4"/>
  <c r="V33" i="4" s="1"/>
  <c r="V6" i="4"/>
  <c r="V5" i="4"/>
  <c r="V4" i="4"/>
  <c r="V68" i="4"/>
  <c r="V55" i="4"/>
  <c r="V71" i="4"/>
  <c r="V72" i="4"/>
  <c r="V73" i="4"/>
  <c r="V74" i="4"/>
  <c r="V75" i="4"/>
  <c r="V76" i="4"/>
  <c r="V77" i="4"/>
  <c r="V78" i="4"/>
  <c r="V79" i="4"/>
  <c r="V80" i="4"/>
  <c r="J32" i="6"/>
  <c r="J30" i="6"/>
  <c r="J29" i="6"/>
  <c r="J27" i="6"/>
  <c r="J26" i="6"/>
  <c r="J24" i="6"/>
  <c r="J22" i="6"/>
  <c r="J20" i="6"/>
  <c r="J19" i="6"/>
  <c r="J17" i="6"/>
  <c r="J16" i="6"/>
  <c r="J15" i="6"/>
  <c r="J14" i="6"/>
  <c r="J11" i="6"/>
  <c r="J10" i="6"/>
  <c r="J8" i="6"/>
  <c r="J7" i="6"/>
  <c r="J5" i="6"/>
  <c r="J4" i="6"/>
  <c r="F32" i="6"/>
  <c r="F30" i="6"/>
  <c r="F29" i="6"/>
  <c r="F27" i="6"/>
  <c r="F26" i="6"/>
  <c r="F24" i="6"/>
  <c r="F22" i="6"/>
  <c r="F20" i="6"/>
  <c r="F19" i="6"/>
  <c r="F17" i="6"/>
  <c r="F16" i="6"/>
  <c r="F15" i="6"/>
  <c r="F14" i="6"/>
  <c r="F13" i="6"/>
  <c r="F11" i="6"/>
  <c r="F10" i="6"/>
  <c r="F8" i="6"/>
  <c r="F7" i="6"/>
  <c r="F5" i="6"/>
  <c r="J36" i="6"/>
  <c r="F36" i="6"/>
  <c r="F4" i="6"/>
  <c r="J12" i="6"/>
  <c r="J51" i="6"/>
  <c r="J59" i="6"/>
  <c r="F59" i="6"/>
  <c r="F12" i="6"/>
  <c r="E36" i="6"/>
  <c r="E32" i="6"/>
  <c r="E30" i="6"/>
  <c r="E29" i="6"/>
  <c r="E27" i="6"/>
  <c r="E26" i="6"/>
  <c r="E24" i="6"/>
  <c r="E22" i="6"/>
  <c r="E20" i="6"/>
  <c r="E19" i="6"/>
  <c r="E17" i="6"/>
  <c r="E16" i="6"/>
  <c r="E15" i="6"/>
  <c r="E14" i="6"/>
  <c r="E13" i="6"/>
  <c r="E12" i="6"/>
  <c r="E11" i="6"/>
  <c r="E10" i="6"/>
  <c r="E8" i="6"/>
  <c r="E7" i="6"/>
  <c r="E5" i="6"/>
  <c r="E4" i="6"/>
  <c r="E59" i="6"/>
  <c r="U35" i="3"/>
  <c r="U48" i="3"/>
  <c r="U4" i="5"/>
  <c r="U17" i="5"/>
  <c r="U16" i="5"/>
  <c r="U15" i="5"/>
  <c r="U14" i="5"/>
  <c r="U13" i="5"/>
  <c r="U12" i="5"/>
  <c r="U11" i="5"/>
  <c r="U10" i="5"/>
  <c r="U9" i="5"/>
  <c r="U8" i="5"/>
  <c r="U7" i="5"/>
  <c r="U6" i="5"/>
  <c r="U26" i="5"/>
  <c r="U39" i="5" s="1"/>
  <c r="U26" i="4"/>
  <c r="U25" i="4"/>
  <c r="U24" i="4"/>
  <c r="U21" i="4"/>
  <c r="U19" i="4"/>
  <c r="U18" i="4"/>
  <c r="U17" i="4"/>
  <c r="U13" i="4"/>
  <c r="U12" i="4"/>
  <c r="U11" i="4"/>
  <c r="U10" i="4"/>
  <c r="U36" i="4" s="1"/>
  <c r="U9" i="4"/>
  <c r="U35" i="4" s="1"/>
  <c r="U8" i="4"/>
  <c r="U7" i="4"/>
  <c r="U33" i="4" s="1"/>
  <c r="U6" i="4"/>
  <c r="U5" i="4"/>
  <c r="U31" i="4" s="1"/>
  <c r="U4" i="4"/>
  <c r="T4" i="4"/>
  <c r="U80" i="4"/>
  <c r="U79" i="4"/>
  <c r="U78" i="4"/>
  <c r="U77" i="4"/>
  <c r="U76" i="4"/>
  <c r="U75" i="4"/>
  <c r="U74" i="4"/>
  <c r="U73" i="4"/>
  <c r="U72" i="4"/>
  <c r="U71" i="4"/>
  <c r="U68" i="4"/>
  <c r="U55" i="4"/>
  <c r="D27" i="6"/>
  <c r="I51" i="6"/>
  <c r="I36" i="6"/>
  <c r="I32" i="6"/>
  <c r="I30" i="6"/>
  <c r="I29" i="6"/>
  <c r="I27" i="6"/>
  <c r="I26" i="6"/>
  <c r="I24" i="6"/>
  <c r="I22" i="6"/>
  <c r="I20" i="6"/>
  <c r="I19" i="6"/>
  <c r="I17" i="6"/>
  <c r="I16" i="6"/>
  <c r="I15" i="6"/>
  <c r="I14" i="6"/>
  <c r="I12" i="6"/>
  <c r="I11" i="6"/>
  <c r="I10" i="6"/>
  <c r="I8" i="6"/>
  <c r="I7" i="6"/>
  <c r="I5" i="6"/>
  <c r="I4" i="6"/>
  <c r="I59" i="6"/>
  <c r="G51" i="6"/>
  <c r="H27" i="6"/>
  <c r="H51" i="6"/>
  <c r="T17" i="5"/>
  <c r="S17" i="5"/>
  <c r="R17" i="5"/>
  <c r="Q17" i="5"/>
  <c r="P17" i="5"/>
  <c r="O17" i="5"/>
  <c r="T16" i="5"/>
  <c r="S16" i="5"/>
  <c r="R16" i="5"/>
  <c r="Q16" i="5"/>
  <c r="P16" i="5"/>
  <c r="O16" i="5"/>
  <c r="T15" i="5"/>
  <c r="S15" i="5"/>
  <c r="R15" i="5"/>
  <c r="Q15" i="5"/>
  <c r="P15" i="5"/>
  <c r="O15" i="5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O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Q6" i="5"/>
  <c r="P6" i="5"/>
  <c r="O6" i="5"/>
  <c r="T4" i="5"/>
  <c r="S4" i="5"/>
  <c r="R4" i="5"/>
  <c r="Q4" i="5"/>
  <c r="P4" i="5"/>
  <c r="O4" i="5"/>
  <c r="T34" i="3"/>
  <c r="T35" i="3" s="1"/>
  <c r="T48" i="3"/>
  <c r="T26" i="5"/>
  <c r="T39" i="5" s="1"/>
  <c r="S30" i="4"/>
  <c r="S31" i="4"/>
  <c r="S32" i="4"/>
  <c r="S33" i="4"/>
  <c r="S34" i="4"/>
  <c r="S35" i="4"/>
  <c r="S36" i="4"/>
  <c r="S37" i="4"/>
  <c r="S38" i="4"/>
  <c r="S39" i="4"/>
  <c r="H36" i="6"/>
  <c r="H32" i="6"/>
  <c r="H30" i="6"/>
  <c r="H29" i="6"/>
  <c r="H26" i="6"/>
  <c r="H24" i="6"/>
  <c r="H22" i="6"/>
  <c r="H20" i="6"/>
  <c r="H19" i="6"/>
  <c r="H17" i="6"/>
  <c r="H16" i="6"/>
  <c r="H15" i="6"/>
  <c r="H14" i="6"/>
  <c r="H12" i="6"/>
  <c r="H11" i="6"/>
  <c r="H10" i="6"/>
  <c r="H8" i="6"/>
  <c r="H7" i="6"/>
  <c r="H5" i="6"/>
  <c r="H4" i="6"/>
  <c r="D36" i="6"/>
  <c r="D32" i="6"/>
  <c r="D30" i="6"/>
  <c r="D29" i="6"/>
  <c r="D26" i="6"/>
  <c r="D24" i="6"/>
  <c r="D22" i="6"/>
  <c r="D20" i="6"/>
  <c r="D19" i="6"/>
  <c r="D17" i="6"/>
  <c r="D16" i="6"/>
  <c r="D15" i="6"/>
  <c r="D14" i="6"/>
  <c r="D13" i="6"/>
  <c r="D12" i="6"/>
  <c r="D11" i="6"/>
  <c r="D10" i="6"/>
  <c r="D8" i="6"/>
  <c r="D7" i="6"/>
  <c r="D5" i="6"/>
  <c r="D4" i="6"/>
  <c r="D59" i="6"/>
  <c r="H59" i="6"/>
  <c r="T26" i="4"/>
  <c r="T25" i="4"/>
  <c r="T24" i="4"/>
  <c r="T21" i="4"/>
  <c r="T19" i="4"/>
  <c r="T18" i="4"/>
  <c r="T17" i="4"/>
  <c r="T13" i="4"/>
  <c r="T12" i="4"/>
  <c r="T11" i="4"/>
  <c r="T10" i="4"/>
  <c r="T36" i="4" s="1"/>
  <c r="T9" i="4"/>
  <c r="T35" i="4" s="1"/>
  <c r="T8" i="4"/>
  <c r="T7" i="4"/>
  <c r="T33" i="4" s="1"/>
  <c r="T6" i="4"/>
  <c r="T5" i="4"/>
  <c r="T80" i="4"/>
  <c r="T79" i="4"/>
  <c r="T78" i="4"/>
  <c r="T77" i="4"/>
  <c r="T76" i="4"/>
  <c r="T75" i="4"/>
  <c r="T74" i="4"/>
  <c r="T73" i="4"/>
  <c r="T72" i="4"/>
  <c r="T71" i="4"/>
  <c r="T68" i="4"/>
  <c r="T55" i="4"/>
  <c r="C76" i="6"/>
  <c r="C59" i="6"/>
  <c r="C21" i="6"/>
  <c r="C9" i="6"/>
  <c r="C6" i="6"/>
  <c r="S26" i="5"/>
  <c r="S39" i="5" s="1"/>
  <c r="S80" i="4"/>
  <c r="S79" i="4"/>
  <c r="S78" i="4"/>
  <c r="S77" i="4"/>
  <c r="S76" i="4"/>
  <c r="S75" i="4"/>
  <c r="S74" i="4"/>
  <c r="S73" i="4"/>
  <c r="S72" i="4"/>
  <c r="S71" i="4"/>
  <c r="S68" i="4"/>
  <c r="S55" i="4"/>
  <c r="G59" i="6"/>
  <c r="R27" i="3"/>
  <c r="R24" i="3"/>
  <c r="R48" i="3"/>
  <c r="Q26" i="5"/>
  <c r="Q39" i="5" s="1"/>
  <c r="P26" i="5"/>
  <c r="P39" i="5" s="1"/>
  <c r="O26" i="5"/>
  <c r="O39" i="5" s="1"/>
  <c r="N26" i="5"/>
  <c r="N39" i="5" s="1"/>
  <c r="R26" i="5"/>
  <c r="R39" i="5" s="1"/>
  <c r="P39" i="4"/>
  <c r="P38" i="4"/>
  <c r="P37" i="4"/>
  <c r="P36" i="4"/>
  <c r="P35" i="4"/>
  <c r="P34" i="4"/>
  <c r="P33" i="4"/>
  <c r="P32" i="4"/>
  <c r="P31" i="4"/>
  <c r="P30" i="4"/>
  <c r="R39" i="4"/>
  <c r="Q39" i="4"/>
  <c r="O39" i="4"/>
  <c r="R38" i="4"/>
  <c r="Q38" i="4"/>
  <c r="O38" i="4"/>
  <c r="R37" i="4"/>
  <c r="Q37" i="4"/>
  <c r="O37" i="4"/>
  <c r="R36" i="4"/>
  <c r="Q36" i="4"/>
  <c r="O36" i="4"/>
  <c r="R35" i="4"/>
  <c r="Q35" i="4"/>
  <c r="O35" i="4"/>
  <c r="R34" i="4"/>
  <c r="Q34" i="4"/>
  <c r="O34" i="4"/>
  <c r="R33" i="4"/>
  <c r="Q33" i="4"/>
  <c r="O33" i="4"/>
  <c r="R32" i="4"/>
  <c r="Q32" i="4"/>
  <c r="O32" i="4"/>
  <c r="R31" i="4"/>
  <c r="Q31" i="4"/>
  <c r="O31" i="4"/>
  <c r="R30" i="4"/>
  <c r="Q30" i="4"/>
  <c r="R80" i="4"/>
  <c r="Q80" i="4"/>
  <c r="P80" i="4"/>
  <c r="O80" i="4"/>
  <c r="N80" i="4"/>
  <c r="R79" i="4"/>
  <c r="Q79" i="4"/>
  <c r="P79" i="4"/>
  <c r="O79" i="4"/>
  <c r="N79" i="4"/>
  <c r="R78" i="4"/>
  <c r="Q78" i="4"/>
  <c r="P78" i="4"/>
  <c r="O78" i="4"/>
  <c r="N78" i="4"/>
  <c r="R77" i="4"/>
  <c r="Q77" i="4"/>
  <c r="P77" i="4"/>
  <c r="O77" i="4"/>
  <c r="N77" i="4"/>
  <c r="R76" i="4"/>
  <c r="Q76" i="4"/>
  <c r="P76" i="4"/>
  <c r="O76" i="4"/>
  <c r="N76" i="4"/>
  <c r="R75" i="4"/>
  <c r="Q75" i="4"/>
  <c r="P75" i="4"/>
  <c r="O75" i="4"/>
  <c r="N75" i="4"/>
  <c r="R74" i="4"/>
  <c r="Q74" i="4"/>
  <c r="P74" i="4"/>
  <c r="O74" i="4"/>
  <c r="N74" i="4"/>
  <c r="R73" i="4"/>
  <c r="Q73" i="4"/>
  <c r="P73" i="4"/>
  <c r="O73" i="4"/>
  <c r="N73" i="4"/>
  <c r="R72" i="4"/>
  <c r="Q72" i="4"/>
  <c r="P72" i="4"/>
  <c r="O72" i="4"/>
  <c r="N72" i="4"/>
  <c r="R71" i="4"/>
  <c r="Q71" i="4"/>
  <c r="P71" i="4"/>
  <c r="O71" i="4"/>
  <c r="N71" i="4"/>
  <c r="R68" i="4"/>
  <c r="Q68" i="4"/>
  <c r="P68" i="4"/>
  <c r="O68" i="4"/>
  <c r="N68" i="4"/>
  <c r="R55" i="4"/>
  <c r="Q55" i="4"/>
  <c r="P55" i="4"/>
  <c r="O55" i="4"/>
  <c r="N55" i="4"/>
  <c r="Q27" i="3"/>
  <c r="Q24" i="3"/>
  <c r="Q48" i="3"/>
  <c r="P29" i="3"/>
  <c r="P27" i="3" s="1"/>
  <c r="P24" i="3"/>
  <c r="P48" i="3"/>
  <c r="O29" i="3"/>
  <c r="O27" i="3" s="1"/>
  <c r="O24" i="3"/>
  <c r="O48" i="3"/>
  <c r="N29" i="3"/>
  <c r="N27" i="3" s="1"/>
  <c r="N24" i="3"/>
  <c r="N48" i="3"/>
  <c r="N30" i="4"/>
  <c r="N31" i="4"/>
  <c r="N32" i="4"/>
  <c r="N33" i="4"/>
  <c r="N34" i="4"/>
  <c r="N35" i="4"/>
  <c r="N36" i="4"/>
  <c r="N37" i="4"/>
  <c r="N38" i="4"/>
  <c r="N39" i="4"/>
  <c r="N27" i="4"/>
  <c r="N14" i="4"/>
  <c r="M39" i="4"/>
  <c r="M38" i="4"/>
  <c r="M37" i="4"/>
  <c r="M36" i="4"/>
  <c r="M35" i="4"/>
  <c r="M34" i="4"/>
  <c r="M33" i="4"/>
  <c r="M32" i="4"/>
  <c r="M31" i="4"/>
  <c r="M30" i="4"/>
  <c r="M27" i="4"/>
  <c r="M14" i="4"/>
  <c r="M80" i="4"/>
  <c r="M79" i="4"/>
  <c r="M78" i="4"/>
  <c r="M77" i="4"/>
  <c r="M76" i="4"/>
  <c r="M75" i="4"/>
  <c r="M74" i="4"/>
  <c r="M73" i="4"/>
  <c r="M72" i="4"/>
  <c r="M71" i="4"/>
  <c r="M68" i="4"/>
  <c r="M55" i="4"/>
  <c r="M26" i="5"/>
  <c r="M39" i="5" s="1"/>
  <c r="L27" i="3"/>
  <c r="K27" i="3"/>
  <c r="J27" i="3"/>
  <c r="I27" i="3"/>
  <c r="H27" i="3"/>
  <c r="G27" i="3"/>
  <c r="L24" i="3"/>
  <c r="K24" i="3"/>
  <c r="J24" i="3"/>
  <c r="I24" i="3"/>
  <c r="H24" i="3"/>
  <c r="G24" i="3"/>
  <c r="L26" i="5"/>
  <c r="L39" i="5" s="1"/>
  <c r="K26" i="5"/>
  <c r="K39" i="5" s="1"/>
  <c r="J26" i="5"/>
  <c r="J39" i="5" s="1"/>
  <c r="I26" i="5"/>
  <c r="I39" i="5" s="1"/>
  <c r="H26" i="5"/>
  <c r="H39" i="5" s="1"/>
  <c r="L80" i="4"/>
  <c r="K80" i="4"/>
  <c r="J80" i="4"/>
  <c r="I80" i="4"/>
  <c r="H80" i="4"/>
  <c r="G80" i="4"/>
  <c r="L79" i="4"/>
  <c r="K79" i="4"/>
  <c r="J79" i="4"/>
  <c r="I79" i="4"/>
  <c r="H79" i="4"/>
  <c r="G79" i="4"/>
  <c r="L78" i="4"/>
  <c r="K78" i="4"/>
  <c r="J78" i="4"/>
  <c r="I78" i="4"/>
  <c r="H78" i="4"/>
  <c r="G78" i="4"/>
  <c r="L77" i="4"/>
  <c r="K77" i="4"/>
  <c r="J77" i="4"/>
  <c r="I77" i="4"/>
  <c r="H77" i="4"/>
  <c r="G77" i="4"/>
  <c r="L76" i="4"/>
  <c r="K76" i="4"/>
  <c r="J76" i="4"/>
  <c r="I76" i="4"/>
  <c r="H76" i="4"/>
  <c r="G76" i="4"/>
  <c r="L75" i="4"/>
  <c r="K75" i="4"/>
  <c r="J75" i="4"/>
  <c r="I75" i="4"/>
  <c r="H75" i="4"/>
  <c r="G75" i="4"/>
  <c r="L74" i="4"/>
  <c r="K74" i="4"/>
  <c r="J74" i="4"/>
  <c r="I74" i="4"/>
  <c r="H74" i="4"/>
  <c r="G74" i="4"/>
  <c r="L73" i="4"/>
  <c r="K73" i="4"/>
  <c r="J73" i="4"/>
  <c r="I73" i="4"/>
  <c r="H73" i="4"/>
  <c r="G73" i="4"/>
  <c r="L72" i="4"/>
  <c r="K72" i="4"/>
  <c r="J72" i="4"/>
  <c r="I72" i="4"/>
  <c r="H72" i="4"/>
  <c r="G72" i="4"/>
  <c r="L71" i="4"/>
  <c r="K71" i="4"/>
  <c r="J71" i="4"/>
  <c r="I71" i="4"/>
  <c r="H71" i="4"/>
  <c r="G71" i="4"/>
  <c r="L68" i="4"/>
  <c r="J68" i="4"/>
  <c r="I68" i="4"/>
  <c r="H68" i="4"/>
  <c r="G68" i="4"/>
  <c r="L55" i="4"/>
  <c r="K55" i="4"/>
  <c r="K81" i="4" s="1"/>
  <c r="J55" i="4"/>
  <c r="I55" i="4"/>
  <c r="H55" i="4"/>
  <c r="G55" i="4"/>
  <c r="J48" i="3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68" i="4"/>
  <c r="E68" i="4"/>
  <c r="D68" i="4"/>
  <c r="C68" i="4"/>
  <c r="F55" i="4"/>
  <c r="E55" i="4"/>
  <c r="D55" i="4"/>
  <c r="C55" i="4"/>
  <c r="F27" i="3"/>
  <c r="E27" i="3"/>
  <c r="D27" i="3"/>
  <c r="C27" i="3"/>
  <c r="F24" i="3"/>
  <c r="E24" i="3"/>
  <c r="D24" i="3"/>
  <c r="C24" i="3"/>
  <c r="I48" i="3"/>
  <c r="H48" i="3"/>
  <c r="G48" i="3"/>
  <c r="F48" i="3"/>
  <c r="E48" i="3"/>
  <c r="D48" i="3"/>
  <c r="C48" i="3"/>
  <c r="O30" i="4"/>
  <c r="G6" i="6"/>
  <c r="G9" i="6"/>
  <c r="G21" i="6"/>
  <c r="T27" i="3"/>
  <c r="Z21" i="3"/>
  <c r="Y21" i="3"/>
  <c r="U25" i="3"/>
  <c r="U28" i="3"/>
  <c r="U27" i="3" s="1"/>
  <c r="Z28" i="3"/>
  <c r="X12" i="3"/>
  <c r="U6" i="3"/>
  <c r="U12" i="3" s="1"/>
  <c r="Z25" i="3"/>
  <c r="S21" i="3"/>
  <c r="T37" i="4" l="1"/>
  <c r="T38" i="4"/>
  <c r="P81" i="4"/>
  <c r="Z12" i="3"/>
  <c r="Y24" i="3"/>
  <c r="Y30" i="3" s="1"/>
  <c r="M81" i="4"/>
  <c r="T39" i="4"/>
  <c r="V38" i="4"/>
  <c r="N30" i="3"/>
  <c r="V5" i="5"/>
  <c r="V18" i="5" s="1"/>
  <c r="O81" i="4"/>
  <c r="T32" i="4"/>
  <c r="H81" i="4"/>
  <c r="V34" i="4"/>
  <c r="R81" i="4"/>
  <c r="T30" i="4"/>
  <c r="O30" i="3"/>
  <c r="Z24" i="3"/>
  <c r="T12" i="3"/>
  <c r="P30" i="3"/>
  <c r="T34" i="4"/>
  <c r="V31" i="4"/>
  <c r="H30" i="3"/>
  <c r="J30" i="3"/>
  <c r="S5" i="5"/>
  <c r="S18" i="5" s="1"/>
  <c r="F81" i="4"/>
  <c r="I81" i="4"/>
  <c r="C81" i="4"/>
  <c r="Q81" i="4"/>
  <c r="U37" i="4"/>
  <c r="U39" i="4"/>
  <c r="U14" i="4"/>
  <c r="V39" i="4"/>
  <c r="P40" i="4"/>
  <c r="V32" i="4"/>
  <c r="V27" i="4"/>
  <c r="L21" i="6"/>
  <c r="Q30" i="3"/>
  <c r="U32" i="4"/>
  <c r="O40" i="4"/>
  <c r="T5" i="5"/>
  <c r="T18" i="5" s="1"/>
  <c r="U34" i="4"/>
  <c r="W5" i="5"/>
  <c r="W18" i="5" s="1"/>
  <c r="T31" i="4"/>
  <c r="Q5" i="5"/>
  <c r="Q18" i="5" s="1"/>
  <c r="U30" i="4"/>
  <c r="V30" i="4"/>
  <c r="V37" i="4"/>
  <c r="D81" i="4"/>
  <c r="E81" i="4"/>
  <c r="U27" i="4"/>
  <c r="T81" i="4"/>
  <c r="U81" i="4"/>
  <c r="L81" i="4"/>
  <c r="G81" i="4"/>
  <c r="N81" i="4"/>
  <c r="S81" i="4"/>
  <c r="J81" i="4"/>
  <c r="M40" i="4"/>
  <c r="Q40" i="4"/>
  <c r="R40" i="4"/>
  <c r="N40" i="4"/>
  <c r="J9" i="6"/>
  <c r="J21" i="6"/>
  <c r="C18" i="6"/>
  <c r="C28" i="6" s="1"/>
  <c r="C31" i="6" s="1"/>
  <c r="C33" i="6" s="1"/>
  <c r="N4" i="6"/>
  <c r="N6" i="6" s="1"/>
  <c r="I6" i="6"/>
  <c r="N13" i="6"/>
  <c r="L9" i="6"/>
  <c r="L13" i="6"/>
  <c r="D56" i="6"/>
  <c r="D66" i="6" s="1"/>
  <c r="D69" i="6" s="1"/>
  <c r="D71" i="6" s="1"/>
  <c r="D73" i="6" s="1"/>
  <c r="D76" i="6" s="1"/>
  <c r="E21" i="6"/>
  <c r="H9" i="6"/>
  <c r="F56" i="6"/>
  <c r="F66" i="6" s="1"/>
  <c r="F69" i="6" s="1"/>
  <c r="F71" i="6" s="1"/>
  <c r="F73" i="6" s="1"/>
  <c r="F76" i="6" s="1"/>
  <c r="F6" i="6"/>
  <c r="M9" i="6"/>
  <c r="D21" i="6"/>
  <c r="H13" i="6"/>
  <c r="I9" i="6"/>
  <c r="M21" i="6"/>
  <c r="G18" i="6"/>
  <c r="G28" i="6" s="1"/>
  <c r="G31" i="6" s="1"/>
  <c r="G33" i="6" s="1"/>
  <c r="K9" i="6"/>
  <c r="K21" i="6"/>
  <c r="M12" i="6"/>
  <c r="E56" i="6"/>
  <c r="E66" i="6" s="1"/>
  <c r="E69" i="6" s="1"/>
  <c r="E71" i="6" s="1"/>
  <c r="E73" i="6" s="1"/>
  <c r="J6" i="6"/>
  <c r="N21" i="6"/>
  <c r="M4" i="6"/>
  <c r="M6" i="6" s="1"/>
  <c r="D6" i="6"/>
  <c r="D9" i="6"/>
  <c r="J56" i="6"/>
  <c r="J66" i="6" s="1"/>
  <c r="J69" i="6" s="1"/>
  <c r="J71" i="6" s="1"/>
  <c r="J73" i="6" s="1"/>
  <c r="J76" i="6" s="1"/>
  <c r="F9" i="6"/>
  <c r="K13" i="6"/>
  <c r="E6" i="6"/>
  <c r="M56" i="6"/>
  <c r="E9" i="6"/>
  <c r="L4" i="6"/>
  <c r="L6" i="6" s="1"/>
  <c r="L56" i="6"/>
  <c r="F21" i="6"/>
  <c r="K56" i="6"/>
  <c r="H6" i="6"/>
  <c r="I21" i="6"/>
  <c r="H56" i="6"/>
  <c r="H66" i="6" s="1"/>
  <c r="H69" i="6" s="1"/>
  <c r="H71" i="6" s="1"/>
  <c r="H73" i="6" s="1"/>
  <c r="M13" i="6"/>
  <c r="N9" i="6"/>
  <c r="N12" i="6"/>
  <c r="I13" i="6"/>
  <c r="H21" i="6"/>
  <c r="J13" i="6"/>
  <c r="I56" i="6"/>
  <c r="I66" i="6" s="1"/>
  <c r="I69" i="6" s="1"/>
  <c r="I71" i="6" s="1"/>
  <c r="I73" i="6" s="1"/>
  <c r="C56" i="6"/>
  <c r="C66" i="6" s="1"/>
  <c r="C69" i="6" s="1"/>
  <c r="C71" i="6" s="1"/>
  <c r="G56" i="6"/>
  <c r="G66" i="6" s="1"/>
  <c r="G69" i="6" s="1"/>
  <c r="G71" i="6" s="1"/>
  <c r="G73" i="6" s="1"/>
  <c r="G76" i="6" s="1"/>
  <c r="L12" i="6"/>
  <c r="N56" i="6"/>
  <c r="V81" i="4"/>
  <c r="U5" i="5"/>
  <c r="U18" i="5" s="1"/>
  <c r="O5" i="5"/>
  <c r="O18" i="5" s="1"/>
  <c r="P5" i="5"/>
  <c r="P18" i="5" s="1"/>
  <c r="R5" i="5"/>
  <c r="R18" i="5" s="1"/>
  <c r="V27" i="3"/>
  <c r="K30" i="3"/>
  <c r="G30" i="3"/>
  <c r="W12" i="3"/>
  <c r="U24" i="3"/>
  <c r="U30" i="3" s="1"/>
  <c r="U37" i="3" s="1"/>
  <c r="T21" i="3"/>
  <c r="X27" i="3"/>
  <c r="Y12" i="3"/>
  <c r="S12" i="3"/>
  <c r="T27" i="4"/>
  <c r="V14" i="4"/>
  <c r="U38" i="4"/>
  <c r="T14" i="4"/>
  <c r="F30" i="3"/>
  <c r="I30" i="3"/>
  <c r="L30" i="3"/>
  <c r="U21" i="3"/>
  <c r="X24" i="3"/>
  <c r="V24" i="3"/>
  <c r="W27" i="3"/>
  <c r="W30" i="3" s="1"/>
  <c r="W37" i="3" s="1"/>
  <c r="T24" i="3"/>
  <c r="T30" i="3" s="1"/>
  <c r="T37" i="3" s="1"/>
  <c r="R30" i="3"/>
  <c r="Z27" i="3"/>
  <c r="Z30" i="3" s="1"/>
  <c r="Z37" i="3" s="1"/>
  <c r="S24" i="3"/>
  <c r="S30" i="3" s="1"/>
  <c r="S37" i="3" s="1"/>
  <c r="V30" i="3" l="1"/>
  <c r="V37" i="3" s="1"/>
  <c r="V40" i="4"/>
  <c r="T40" i="4"/>
  <c r="U40" i="4"/>
  <c r="F18" i="6"/>
  <c r="F28" i="6" s="1"/>
  <c r="F31" i="6" s="1"/>
  <c r="F33" i="6" s="1"/>
  <c r="F35" i="6"/>
  <c r="D18" i="6"/>
  <c r="L66" i="6"/>
  <c r="L69" i="6" s="1"/>
  <c r="L71" i="6" s="1"/>
  <c r="L73" i="6" s="1"/>
  <c r="L76" i="6" s="1"/>
  <c r="D28" i="6"/>
  <c r="D31" i="6" s="1"/>
  <c r="D33" i="6" s="1"/>
  <c r="M18" i="6"/>
  <c r="M28" i="6" s="1"/>
  <c r="M31" i="6" s="1"/>
  <c r="M33" i="6" s="1"/>
  <c r="H18" i="6"/>
  <c r="H28" i="6" s="1"/>
  <c r="H31" i="6" s="1"/>
  <c r="H33" i="6" s="1"/>
  <c r="D35" i="6"/>
  <c r="E35" i="6"/>
  <c r="E18" i="6"/>
  <c r="E28" i="6" s="1"/>
  <c r="E31" i="6" s="1"/>
  <c r="E33" i="6" s="1"/>
  <c r="E76" i="6"/>
  <c r="I18" i="6"/>
  <c r="I28" i="6" s="1"/>
  <c r="I31" i="6" s="1"/>
  <c r="I33" i="6" s="1"/>
  <c r="N18" i="6"/>
  <c r="N28" i="6" s="1"/>
  <c r="N31" i="6" s="1"/>
  <c r="N33" i="6" s="1"/>
  <c r="K18" i="6"/>
  <c r="K28" i="6" s="1"/>
  <c r="K31" i="6" s="1"/>
  <c r="K33" i="6" s="1"/>
  <c r="J18" i="6"/>
  <c r="J28" i="6" s="1"/>
  <c r="J31" i="6" s="1"/>
  <c r="J33" i="6" s="1"/>
  <c r="H35" i="6"/>
  <c r="H76" i="6"/>
  <c r="I76" i="6"/>
  <c r="I35" i="6"/>
  <c r="N66" i="6"/>
  <c r="N69" i="6" s="1"/>
  <c r="N71" i="6" s="1"/>
  <c r="N73" i="6" s="1"/>
  <c r="N76" i="6" s="1"/>
  <c r="L18" i="6"/>
  <c r="L28" i="6" s="1"/>
  <c r="L31" i="6" s="1"/>
  <c r="L33" i="6" s="1"/>
  <c r="J35" i="6"/>
  <c r="M66" i="6"/>
  <c r="M69" i="6" s="1"/>
  <c r="M71" i="6" s="1"/>
  <c r="M73" i="6" s="1"/>
  <c r="K66" i="6"/>
  <c r="K69" i="6" s="1"/>
  <c r="K71" i="6" s="1"/>
  <c r="K73" i="6" s="1"/>
  <c r="X30" i="3"/>
  <c r="Y37" i="3"/>
  <c r="N35" i="6" l="1"/>
  <c r="K35" i="6"/>
  <c r="K76" i="6"/>
  <c r="L35" i="6"/>
  <c r="M35" i="6"/>
  <c r="M76" i="6"/>
</calcChain>
</file>

<file path=xl/sharedStrings.xml><?xml version="1.0" encoding="utf-8"?>
<sst xmlns="http://schemas.openxmlformats.org/spreadsheetml/2006/main" count="2293" uniqueCount="695">
  <si>
    <t>Fee and commission income</t>
  </si>
  <si>
    <t>Net fee and commission income</t>
  </si>
  <si>
    <t>Dividend income</t>
  </si>
  <si>
    <t>Other operating income</t>
  </si>
  <si>
    <t>Impairment losses on financial assets</t>
  </si>
  <si>
    <t>Impairment losses on non-financial assets</t>
  </si>
  <si>
    <t>Other operating expenses</t>
  </si>
  <si>
    <t>Corporate income tax</t>
  </si>
  <si>
    <t>Attributable to:</t>
  </si>
  <si>
    <t>Owners of the parent</t>
  </si>
  <si>
    <t>Non-controlling interests</t>
  </si>
  <si>
    <t>Weighted average number of ordinary shares</t>
  </si>
  <si>
    <t>PLN '000</t>
  </si>
  <si>
    <t>PROFIT &amp; LOSS ACCOUNT - QUARTERLY</t>
  </si>
  <si>
    <t>Interest income*</t>
  </si>
  <si>
    <t>Net interest income*</t>
  </si>
  <si>
    <t>Hedging derivatives</t>
  </si>
  <si>
    <t>Debt securities</t>
  </si>
  <si>
    <t>Subordinated debt</t>
  </si>
  <si>
    <t>Total Liabilities</t>
  </si>
  <si>
    <t>EQUITY</t>
  </si>
  <si>
    <t>Share premium</t>
  </si>
  <si>
    <t>Retained earnings</t>
  </si>
  <si>
    <t>FEES &amp; COMMISSIONS - QUARTERLY</t>
  </si>
  <si>
    <t>Resulting from accounts service</t>
  </si>
  <si>
    <t>Resulting from loans granted</t>
  </si>
  <si>
    <t>Resulting from guarantees and sureties granted</t>
  </si>
  <si>
    <t>Resulting from payment and credit cards</t>
  </si>
  <si>
    <t>Resulting from sale of insurance products</t>
  </si>
  <si>
    <t>Resulting from distribution of investment funds units and other savings products</t>
  </si>
  <si>
    <t>Resulting from brokerage and custody service</t>
  </si>
  <si>
    <t>Resulting from investment funds managed by the Group</t>
  </si>
  <si>
    <t>Other</t>
  </si>
  <si>
    <t>Total</t>
  </si>
  <si>
    <t>Resulting from money transfers, cash payments and withdrawals and other payment transactions</t>
  </si>
  <si>
    <t>Costs of advertising, promotion and representation</t>
  </si>
  <si>
    <t>Costs of renting</t>
  </si>
  <si>
    <t>Costs of buildings maintenance, equipment and materials</t>
  </si>
  <si>
    <t>ATM and cash costs</t>
  </si>
  <si>
    <t xml:space="preserve">Costs of consultancy, audit and legal advisory and translation </t>
  </si>
  <si>
    <t xml:space="preserve">Taxes and fees </t>
  </si>
  <si>
    <t>KIR clearing charges</t>
  </si>
  <si>
    <t>PFRON costs</t>
  </si>
  <si>
    <t>Financial Supervision costs</t>
  </si>
  <si>
    <t>General administrative costs:</t>
  </si>
  <si>
    <t>Deposits</t>
  </si>
  <si>
    <t xml:space="preserve"> - retail</t>
  </si>
  <si>
    <t xml:space="preserve"> - including leasing</t>
  </si>
  <si>
    <t xml:space="preserve"> - including mortgage</t>
  </si>
  <si>
    <t xml:space="preserve"> - other retail</t>
  </si>
  <si>
    <t>TOTAL NET LOANS</t>
  </si>
  <si>
    <t>TOTAL GROSS LOANS</t>
  </si>
  <si>
    <t>Retail</t>
  </si>
  <si>
    <t>Staff costs</t>
  </si>
  <si>
    <t>CUSTOMER DEPOSITS</t>
  </si>
  <si>
    <t xml:space="preserve">W tym przypadający na: </t>
  </si>
  <si>
    <t>Zysk (strata) na jedną akcję zwykłą (w zł)</t>
  </si>
  <si>
    <t>Koszty z tytułu odsetek</t>
  </si>
  <si>
    <t>Wynik z tytułu odsetek*</t>
  </si>
  <si>
    <t>Przychody z tytułu prowizji</t>
  </si>
  <si>
    <t xml:space="preserve">Koszty z tytułu opłat i prowizji </t>
  </si>
  <si>
    <t xml:space="preserve">Wynik z tytułu prowizji </t>
  </si>
  <si>
    <t xml:space="preserve">Przychody z tytułu dywidend </t>
  </si>
  <si>
    <t>Wynik z pozycji wymiany</t>
  </si>
  <si>
    <t>Koszty z tytułu utraty wartości aktywów finansowych</t>
  </si>
  <si>
    <t>Koszty z tytułu utraty wartości aktywów niefinansowych</t>
  </si>
  <si>
    <t xml:space="preserve">Wynik na działalności operacyjnej </t>
  </si>
  <si>
    <t>Wynik finansowy po opodatkowaniu</t>
  </si>
  <si>
    <t>Podatek dochodowy</t>
  </si>
  <si>
    <t>Zobowiązania wobec klientów</t>
  </si>
  <si>
    <t xml:space="preserve">Zobowiązania podporządkowane </t>
  </si>
  <si>
    <t xml:space="preserve">Kapitał zakładowy </t>
  </si>
  <si>
    <t>Zyski zatrzymane</t>
  </si>
  <si>
    <t>Prowizje za prowadzenie rachunków</t>
  </si>
  <si>
    <t>Prowizje za realizację przelewów, wpłat i wypłat gotówkowych oraz inne transakcje płatnicze</t>
  </si>
  <si>
    <t>Prowizje z tytułu udzielonych kredytów i pożyczek</t>
  </si>
  <si>
    <t>Prowizje z tytułu udzielonych gwarancji i poręczeń</t>
  </si>
  <si>
    <t>Prowizje za obsługę kart płatniczych i kredytowych</t>
  </si>
  <si>
    <t>Prowizje z tytułu sprzedaży produktów ubezpieczeniowych</t>
  </si>
  <si>
    <t>Prowizje z tytułu dystrybucji jednostek uczestnictwa i innych produktów oszczędnościowych</t>
  </si>
  <si>
    <t>Prowizje z tytułu działalności maklerskiej i powierniczej</t>
  </si>
  <si>
    <t xml:space="preserve">Prowizje z tytułu funduszy inwestycyjnych zarządzanych przez Grupę </t>
  </si>
  <si>
    <t>Pozostałe prowizje</t>
  </si>
  <si>
    <t>Razem:</t>
  </si>
  <si>
    <t>Prowizje z tytułu funduszy inwestycyjnych zarządzanych przez Grupę</t>
  </si>
  <si>
    <t>Koszty pracownicze</t>
  </si>
  <si>
    <t>Koszty reklamy, promocji i reprezentacji</t>
  </si>
  <si>
    <t>Koszty wynajmu</t>
  </si>
  <si>
    <t>Koszty utrzymania budynków, wyposażenia, materiałów</t>
  </si>
  <si>
    <t>Koszty bankomatów i obsługi gotówki</t>
  </si>
  <si>
    <t>Koszty usług doradczych, audytowych, prawniczych, tłumaczeń</t>
  </si>
  <si>
    <t>Podatki i opłaty różne</t>
  </si>
  <si>
    <t>Koszty KIR</t>
  </si>
  <si>
    <t>Koszty PFRON</t>
  </si>
  <si>
    <t>Koszty Nadzoru Finansowego</t>
  </si>
  <si>
    <t>Pozostałe</t>
  </si>
  <si>
    <t>Wynik z tytułu prowizji i opłat   tys.zł</t>
  </si>
  <si>
    <t>Przychody z tytułu prowizji i opłat   tys.zł</t>
  </si>
  <si>
    <t>Koszty z tytułu prowizji   tys.zł</t>
  </si>
  <si>
    <t>tys. zł</t>
  </si>
  <si>
    <t>Koszty ogólno - administracyjne:</t>
  </si>
  <si>
    <t>DEPOZYTY KLIENTÓW</t>
  </si>
  <si>
    <t>Depozyty</t>
  </si>
  <si>
    <t xml:space="preserve"> - detaliczne</t>
  </si>
  <si>
    <t xml:space="preserve"> - przedsiebiorstwa i sektor publiczny</t>
  </si>
  <si>
    <t>Detaliczne</t>
  </si>
  <si>
    <t xml:space="preserve"> - w tym hipoteczne</t>
  </si>
  <si>
    <t xml:space="preserve"> - pozostałe detaliczne</t>
  </si>
  <si>
    <t>Dla przedsiębiorstw</t>
  </si>
  <si>
    <t xml:space="preserve"> - w tym leasing</t>
  </si>
  <si>
    <t xml:space="preserve"> - pozostałe dla przedsiębiorstw</t>
  </si>
  <si>
    <t>Kredyty netto razem</t>
  </si>
  <si>
    <t>Kredyty brutto razem</t>
  </si>
  <si>
    <t xml:space="preserve">FEES &amp; COMMISSIONS - YEAR TO DATE </t>
  </si>
  <si>
    <t>BALANCE SHEET</t>
  </si>
  <si>
    <t>1.01.2014 -31.03.2014</t>
  </si>
  <si>
    <t>31.03.2014</t>
  </si>
  <si>
    <t>1.04.2014 -30.06.2014</t>
  </si>
  <si>
    <t>1.01.2014 -30.06.2014</t>
  </si>
  <si>
    <t>30.06.2014</t>
  </si>
  <si>
    <t>Koszty informatyki i łączności</t>
  </si>
  <si>
    <t>IT and communication costs</t>
  </si>
  <si>
    <t>1.01.2014 -30.09.2014</t>
  </si>
  <si>
    <t>1.07.2014 -30.09.2014</t>
  </si>
  <si>
    <t>30.09.2014</t>
  </si>
  <si>
    <t>Mortgage loans</t>
  </si>
  <si>
    <t>Cash loans</t>
  </si>
  <si>
    <t>New assets leased</t>
  </si>
  <si>
    <t>Factoring turnover</t>
  </si>
  <si>
    <t>NEW LOANS DISBURSEMENT (quarterly)</t>
  </si>
  <si>
    <t>Kredyty hipoteczne</t>
  </si>
  <si>
    <t>Kredyty gotówkowe</t>
  </si>
  <si>
    <t>Aktywa oddane w leasing</t>
  </si>
  <si>
    <t>Obroty faktoringowe</t>
  </si>
  <si>
    <t>WYPŁATY NOWYCH KREDYTÓW (kwartalnie)</t>
  </si>
  <si>
    <t>31.12.2014</t>
  </si>
  <si>
    <t>1.10.2014 -31.12.2014</t>
  </si>
  <si>
    <t>1.01.2014 -31.12.2014</t>
  </si>
  <si>
    <t>GENERAL AND ADMINISTRATIVE EXPENSES* - YEAR TO DATE</t>
  </si>
  <si>
    <t>* without depreciation</t>
  </si>
  <si>
    <t>1.01.2015 -31.03.2015</t>
  </si>
  <si>
    <t>31.03.2015</t>
  </si>
  <si>
    <t>Employment (FTE)</t>
  </si>
  <si>
    <t>Number of branches</t>
  </si>
  <si>
    <t>Zatrudnienie (etaty)</t>
  </si>
  <si>
    <t>Liczba oddziałów</t>
  </si>
  <si>
    <t xml:space="preserve"> - companies &amp; public</t>
  </si>
  <si>
    <t>Companies</t>
  </si>
  <si>
    <t xml:space="preserve"> - other loans to companies</t>
  </si>
  <si>
    <t>OTHER CUSTOMER FUNDS</t>
  </si>
  <si>
    <t>POZOSTAŁE ŚRODKI KLIENTÓW</t>
  </si>
  <si>
    <t>Investment products</t>
  </si>
  <si>
    <t>Produkty inwestycyjne</t>
  </si>
  <si>
    <t xml:space="preserve"> - Millennium TFI funds</t>
  </si>
  <si>
    <t xml:space="preserve"> - fundusze Millennium TFI </t>
  </si>
  <si>
    <t xml:space="preserve"> - Third party funds and other products</t>
  </si>
  <si>
    <t xml:space="preserve"> - fundusze podmiotów zewnętrznych i inne produkty </t>
  </si>
  <si>
    <t>30.06.2015</t>
  </si>
  <si>
    <t>1.04.2015 -30.06.2015</t>
  </si>
  <si>
    <t>1.01.2015 -30.06.2015</t>
  </si>
  <si>
    <t>1.01.2015 -30.09.2015</t>
  </si>
  <si>
    <t>1.07.2015 -30.09.2015</t>
  </si>
  <si>
    <t>30.09.2015</t>
  </si>
  <si>
    <t>1.01.2015 -31.12.2015</t>
  </si>
  <si>
    <t>1.10.2015 -31.12.2015</t>
  </si>
  <si>
    <t>31.12.2015</t>
  </si>
  <si>
    <t>1.01.2016 -31.03.2016</t>
  </si>
  <si>
    <t>31.03.2016</t>
  </si>
  <si>
    <t>Banking tax</t>
  </si>
  <si>
    <t>Podatek bankowy</t>
  </si>
  <si>
    <t>1.01.2016 -30.06.2016</t>
  </si>
  <si>
    <t>1.04.2016 -30.06.2016</t>
  </si>
  <si>
    <t>30.06.2016</t>
  </si>
  <si>
    <t>30.09.2016</t>
  </si>
  <si>
    <t>1.07.2016 -30.09.2016</t>
  </si>
  <si>
    <t>1.01.2016 -30.09.2016</t>
  </si>
  <si>
    <t>1.01.2016 -31.12.2016</t>
  </si>
  <si>
    <t>1.10.2016 -31.12.2016</t>
  </si>
  <si>
    <t>31.12.2016</t>
  </si>
  <si>
    <t>1.01.2017 -31.03.2017</t>
  </si>
  <si>
    <t>31.03.2017</t>
  </si>
  <si>
    <t>1.01.2017 -30.06.2017</t>
  </si>
  <si>
    <t>1.04.2017 -30.06.2017</t>
  </si>
  <si>
    <t>30.06.2017</t>
  </si>
  <si>
    <t>1.01.2017 -30.09.2017</t>
  </si>
  <si>
    <t>1.07.2017 -30.09.2017</t>
  </si>
  <si>
    <t>30.09.2017</t>
  </si>
  <si>
    <t xml:space="preserve"> - retail debt securities</t>
  </si>
  <si>
    <t xml:space="preserve"> - papiery wart. detaliczne</t>
  </si>
  <si>
    <t>1.01.2017 -31.12.2017</t>
  </si>
  <si>
    <t>1.10.2017 -31.12.2017</t>
  </si>
  <si>
    <t>31.12.2017</t>
  </si>
  <si>
    <t>1.01.2018 -31.03.2018</t>
  </si>
  <si>
    <t>Przychody z tytułu odsetek*</t>
  </si>
  <si>
    <t>Interest expenses</t>
  </si>
  <si>
    <t>Fee and commission expenses</t>
  </si>
  <si>
    <t>Result on derecognition of financial assets and liabilities not measured at fair value through profit or loss</t>
  </si>
  <si>
    <t>Wynik z tytułu zaprzestania ujmowania aktywów i zobowiązań finansowych niewycenianych według wartości godziwej przez wynik finansowy</t>
  </si>
  <si>
    <t>Results on financial assets and liabilities held for trading *</t>
  </si>
  <si>
    <t>Wynik z tytułu aktywów i zobowiązań finansowych przeznaczonych do obrotu *</t>
  </si>
  <si>
    <t>Result on hedge accounting</t>
  </si>
  <si>
    <t>Wynik z tytułu rachunkowości zabezpieczeń</t>
  </si>
  <si>
    <t>Result on exchange differences</t>
  </si>
  <si>
    <t>Pozostałe przychody operacyjne</t>
  </si>
  <si>
    <t>Pozostałe koszty operacyjne</t>
  </si>
  <si>
    <t>Administrative expenses</t>
  </si>
  <si>
    <t>Koszty administracyjne</t>
  </si>
  <si>
    <t>Depreciation</t>
  </si>
  <si>
    <t>Amortyzacja</t>
  </si>
  <si>
    <t>Result on modification</t>
  </si>
  <si>
    <t>Wynik z tytułu modyfikacji</t>
  </si>
  <si>
    <t>Result on operating activity</t>
  </si>
  <si>
    <t>Share of the profit of investments in subsidiaries</t>
  </si>
  <si>
    <t xml:space="preserve">Udział w zyskach jednostek podporządkowanych </t>
  </si>
  <si>
    <t>Result before income taxes</t>
  </si>
  <si>
    <t>Wynik finansowy przed opodatkowaniem podatkiem dochodowym</t>
  </si>
  <si>
    <t>Result after taxes</t>
  </si>
  <si>
    <t xml:space="preserve">Właścicieli jednostki dominującej </t>
  </si>
  <si>
    <t>Udziały niekontrolujące</t>
  </si>
  <si>
    <t xml:space="preserve">Średnia ważona liczba akcji zwykłych </t>
  </si>
  <si>
    <t>Profit (loss) per ordinary share (in PLN)</t>
  </si>
  <si>
    <t>31.03.2018</t>
  </si>
  <si>
    <t xml:space="preserve">Cash, cash balances at central banks </t>
  </si>
  <si>
    <t>Kasa, środki w Banku Centralnym</t>
  </si>
  <si>
    <t xml:space="preserve">Financial assets held for trading </t>
  </si>
  <si>
    <t xml:space="preserve">Aktywa finansowe przeznaczone do obrotu </t>
  </si>
  <si>
    <t>Instrumenty dłużne</t>
  </si>
  <si>
    <t xml:space="preserve">Deposits, loans and advances to banks and other monetary institutions </t>
  </si>
  <si>
    <t>Transakcje z przyrzeczeniem odkupu</t>
  </si>
  <si>
    <t>Derivatives – Hedge accounting</t>
  </si>
  <si>
    <t>Instrumenty pochodne – rachunkowość zabezpieczeń</t>
  </si>
  <si>
    <t>Investments in subsidiaries, joint ventures and associates</t>
  </si>
  <si>
    <t>Inwestycje w jednostkach zależnych, we wspólnych przedsięwzięciach i w jednostkach stowarzyszonych</t>
  </si>
  <si>
    <t xml:space="preserve">Other assets </t>
  </si>
  <si>
    <t>Financial liabilities held for trading</t>
  </si>
  <si>
    <t>Zobowiązania finansowe przeznaczone do obrotu</t>
  </si>
  <si>
    <t>Financial liabilities measured at amortised cost</t>
  </si>
  <si>
    <t>Zobowiązania finansowe wyceniane według zamortyzowanego kosztu</t>
  </si>
  <si>
    <t>Zobowiązania wobec banków i innych instytucji monetarnych</t>
  </si>
  <si>
    <t>Liabilities to customers</t>
  </si>
  <si>
    <t>Debt securities issued</t>
  </si>
  <si>
    <t>Wyemitowane dłużne papiery wartościowe</t>
  </si>
  <si>
    <t>Provisions</t>
  </si>
  <si>
    <t>Rezerwy</t>
  </si>
  <si>
    <t xml:space="preserve">Other liabilities </t>
  </si>
  <si>
    <t>Accumulated other comprehensive income</t>
  </si>
  <si>
    <t>Skumulowane inne całkowite dochody</t>
  </si>
  <si>
    <t>** with resolution fund contribution (which is presented in other operating cost for earlier periods until the end of 2017)</t>
  </si>
  <si>
    <t>Przychody operacyjne</t>
  </si>
  <si>
    <t>Operating income</t>
  </si>
  <si>
    <t>Operating expenses**</t>
  </si>
  <si>
    <t>Koszty operacyjne **</t>
  </si>
  <si>
    <t>1.01.2018-31.03.2018</t>
  </si>
  <si>
    <t>Inne</t>
  </si>
  <si>
    <t>01.01.2017 - 31.12.2017</t>
  </si>
  <si>
    <t>01.01.2016 - 31.12.2016</t>
  </si>
  <si>
    <t xml:space="preserve">INTEREST INCOME &amp; COST - YEAR TO DATE </t>
  </si>
  <si>
    <t>01.10.2017 - 31.12.2017</t>
  </si>
  <si>
    <t>INTEREST INCOME &amp; COST - QUARTERLY</t>
  </si>
  <si>
    <t>Balances with the Central Bank</t>
  </si>
  <si>
    <t>Deposits, loans and advances to banks</t>
  </si>
  <si>
    <t>Transactions with repurchase agreement</t>
  </si>
  <si>
    <t>1.01.2018 -30.06.2018</t>
  </si>
  <si>
    <t>1.04.2018 -30.06.2018</t>
  </si>
  <si>
    <t>30.06.2018</t>
  </si>
  <si>
    <t>Aktywa finansowe wyceniane według zamortyzowanego kosztu, inne niż Kredyty i pożyczki udzielone klientom</t>
  </si>
  <si>
    <t> 1.01.2018 - 30.06.2018</t>
  </si>
  <si>
    <t> 1.01.2018 -30.06.2018</t>
  </si>
  <si>
    <t>Przychody odsetkowe od Aktywów wycenianych według wartości godziwej przez inne całkowite dochody</t>
  </si>
  <si>
    <t>Przychody odsetkowe od Aktywów wycenianych według zamortyzowanego kosztu</t>
  </si>
  <si>
    <t>Środki w Banku Centralnym</t>
  </si>
  <si>
    <t>Lokaty oraz kredyty i pożyczki udzielone bankom i innym instytucjom monetarnym</t>
  </si>
  <si>
    <t xml:space="preserve">Transakcje z przyrzeczeniem odkupu </t>
  </si>
  <si>
    <t>Przychody o charakterze podobnym do odsetkowego z tytułu:</t>
  </si>
  <si>
    <t>Kredyty i pożyczki udzielone klientom obowiązkowo wyceniane według wartości godziwej przez rachunek zysków i strat</t>
  </si>
  <si>
    <t>Aktywa finansowe przeznaczone do obrotu - Instrumenty dłużne</t>
  </si>
  <si>
    <t>Zobowiązania finansowe wyceniane według zamortyzowanego kosztu:</t>
  </si>
  <si>
    <t>Interest income from Financial assets at fair value through other comprehensive  income</t>
  </si>
  <si>
    <t>Interest income from Financial assets at amortised cost</t>
  </si>
  <si>
    <t>Transactions with repurchase agreements</t>
  </si>
  <si>
    <t>Income of similar nature to interest, including:</t>
  </si>
  <si>
    <t>Loans and advances to customers mandatorily at fair value through profit or loss</t>
  </si>
  <si>
    <t>Financial assets held for trading - debt securities</t>
  </si>
  <si>
    <t>Total:</t>
  </si>
  <si>
    <t>Interest income and other of similar nature, including:</t>
  </si>
  <si>
    <t>Liablities to banks and other monetary other    monetary institutions</t>
  </si>
  <si>
    <t>Interest expense and other of similar nature, including:</t>
  </si>
  <si>
    <t>Liablities to banks and other monetary institutions</t>
  </si>
  <si>
    <t>Non-trading financial assets mandatorily at fair value through profit or loss, other than Loans and advances to customers</t>
  </si>
  <si>
    <t>KREDYTY DLA KLIENTÓW - wyceniane wg wartości godziwej</t>
  </si>
  <si>
    <t>-</t>
  </si>
  <si>
    <t xml:space="preserve">PROFIT &amp; LOSS ACCOUNT (PRO-FORMA) - YEAR TO DATE </t>
  </si>
  <si>
    <t>Result on non-trading financial assets mandatorily at fair value through profit or loss***</t>
  </si>
  <si>
    <t>Wynik z tytułu aktywów finansowych nieprzeznaczonych do obrotu wycenianych obowiązkowo według wartości godziwej przez wynik finansowy***</t>
  </si>
  <si>
    <t xml:space="preserve">Result on loan portfolio presented at fair value*** </t>
  </si>
  <si>
    <t>Wynik z tytułu kredytów wycenianych do wart. godziwej***</t>
  </si>
  <si>
    <t>LOANS FOR CUSTOMERS - at fair value</t>
  </si>
  <si>
    <t> 1.01.2018 - 30.09.2018</t>
  </si>
  <si>
    <t>1.07.2018 -30.09.2018</t>
  </si>
  <si>
    <t> 1.01.2018 -30.09.2018</t>
  </si>
  <si>
    <t>1.01.2018 -30.09.2018</t>
  </si>
  <si>
    <t>30.09.2018</t>
  </si>
  <si>
    <t>1.01.2018 -31.12.2018</t>
  </si>
  <si>
    <t>1.10.2018 -31.12.2018</t>
  </si>
  <si>
    <t>31.12.2018</t>
  </si>
  <si>
    <t> 1.01.2018 -31.12.2018</t>
  </si>
  <si>
    <t>1.01.2019 -31.03.2019</t>
  </si>
  <si>
    <t> 1.01.2019 -31.03.2019</t>
  </si>
  <si>
    <t>31.03.2019</t>
  </si>
  <si>
    <r>
      <t>Lease liabilities</t>
    </r>
    <r>
      <rPr>
        <vertAlign val="superscript"/>
        <sz val="9"/>
        <color indexed="8"/>
        <rFont val="Trebuchet MS"/>
        <family val="2"/>
        <charset val="238"/>
      </rPr>
      <t>*)</t>
    </r>
  </si>
  <si>
    <t>*) nowa pozycja wynikająca z  IFRS 16</t>
  </si>
  <si>
    <t>*) new item resulting from IFRS 16</t>
  </si>
  <si>
    <t>NET LOANS TO CUSTOMERS, TOTAL</t>
  </si>
  <si>
    <t>KREDYTY NETTO DLA KLIENTÓW, RAZEM</t>
  </si>
  <si>
    <r>
      <t>Zobowiązania z tytułu leasingu</t>
    </r>
    <r>
      <rPr>
        <vertAlign val="superscript"/>
        <sz val="9"/>
        <color indexed="8"/>
        <rFont val="Trebuchet MS"/>
        <family val="2"/>
        <charset val="238"/>
      </rPr>
      <t>*)</t>
    </r>
  </si>
  <si>
    <t>1.01.2019 -30.06.2019</t>
  </si>
  <si>
    <t>1.04.2019 -30.06.2019</t>
  </si>
  <si>
    <t> 1.01.2019 -30.06.2019</t>
  </si>
  <si>
    <t> 1.04.2019 -30.06.2019</t>
  </si>
  <si>
    <t>30.06.2019</t>
  </si>
  <si>
    <t>1.07.2019 -30.09.2019</t>
  </si>
  <si>
    <t>1.01.2019 -30.09.2019</t>
  </si>
  <si>
    <t> 1.01.2019 -30.09.2019</t>
  </si>
  <si>
    <t> 1.07.2019 -30.09.2019</t>
  </si>
  <si>
    <t>30.09.2019</t>
  </si>
  <si>
    <t>1.01.2019 -31.12.2019</t>
  </si>
  <si>
    <t>1.10.2019 -31.12.2019</t>
  </si>
  <si>
    <t>Koszty rezerw na sprawy sporne z tytułu walutowych kredytów hipotecznych</t>
  </si>
  <si>
    <t>Creation of provision for claims resulted from FX mortgage portfolio</t>
  </si>
  <si>
    <t> 1.10.2019 -31.12.2019</t>
  </si>
  <si>
    <t>31.12.2019</t>
  </si>
  <si>
    <t>(tys. zł)</t>
  </si>
  <si>
    <t>Risk-weighted assets</t>
  </si>
  <si>
    <t>Own Funds requirements, including:</t>
  </si>
  <si>
    <t>Own Funds, including:</t>
  </si>
  <si>
    <t>Common Equity Tier 1 Capital</t>
  </si>
  <si>
    <t>Tier 2 Capital</t>
  </si>
  <si>
    <t>Total Capital Ratio (TCR)</t>
  </si>
  <si>
    <t>Minimum required level</t>
  </si>
  <si>
    <t>Surplus(+) / Deficit(-) of TCR capital adequacy (p.p.)</t>
  </si>
  <si>
    <t>Tier 1 Capital ratio (T1)</t>
  </si>
  <si>
    <t>Surplus(+) / Deficit(-) of T1 capital adequacy (p.p.)</t>
  </si>
  <si>
    <t>Common Equity Tier 1 Capital ratio (CET1)</t>
  </si>
  <si>
    <t>Leverage ratio</t>
  </si>
  <si>
    <t xml:space="preserve">Capital adequacy of the Group </t>
  </si>
  <si>
    <t>Aktywa ważone ryzykiem</t>
  </si>
  <si>
    <t>Wymogi w zakresie funduszy własnych, w tym:</t>
  </si>
  <si>
    <t>z tytułu ryzyka kredytowego i kredytowego kontrahenta</t>
  </si>
  <si>
    <t>z tytułu ryzyka rynkowego</t>
  </si>
  <si>
    <t>z tytułu ryzyka operacyjnego</t>
  </si>
  <si>
    <t>z tytułu korekty wartości godziwej z tytułu ryzyka kredytowego</t>
  </si>
  <si>
    <t>Fundusze własne, w tym:</t>
  </si>
  <si>
    <t>Kapitał podstawowy Tier 1</t>
  </si>
  <si>
    <t>Kapitał Tier 2</t>
  </si>
  <si>
    <t>Łączny wskaźnik kapitałowy (TCR)</t>
  </si>
  <si>
    <t>Minimalny wymagany poziom</t>
  </si>
  <si>
    <t>Nadwyżka(+) / Niedobór(-) adekwatności kapitałowej TCR (p.p.)</t>
  </si>
  <si>
    <t>Wskaźnik kapitału Tier 1 (Wskaźnik T1)</t>
  </si>
  <si>
    <t>Nadwyżka(+) / Niedobór(-) adekwatności kapitałowej T1 (p.p.)</t>
  </si>
  <si>
    <t>Wskaźnik kapitału podstawowego Tier 1 (Wskaźnik CET1)</t>
  </si>
  <si>
    <t>Wskaźnik dźwigni finansowej</t>
  </si>
  <si>
    <t>Credit risk and counterparty credit risk</t>
  </si>
  <si>
    <t>Market risk</t>
  </si>
  <si>
    <t>Operational risk</t>
  </si>
  <si>
    <t>Credit Valuation Adjustment CVA</t>
  </si>
  <si>
    <t>Adekwatność kapitałowa Grupy</t>
  </si>
  <si>
    <t>PRZYCHODY I KOSZTY Z TYTUŁU PROWIZJI - KWARTALNIE</t>
  </si>
  <si>
    <t>PRZYCHODY I KOSZTY Z TYTUŁU PROWIZJI - NARASTAJĄCO</t>
  </si>
  <si>
    <t>Przychody z tytułu odsetek i przychody o podobnym charakterze</t>
  </si>
  <si>
    <t>PRZYCHODY I KOSZTY ODSETKOWE - NARASTAJĄCO</t>
  </si>
  <si>
    <t>Koszty z tytułu odsetek i podobne koszty</t>
  </si>
  <si>
    <t>RACHUNEK ZYSKÓW I STRAT (PRO-FORMA) - NARASTAJĄCO</t>
  </si>
  <si>
    <t>PRZYCHODY I KOSZTY ODSETKOWE - KWARTALNIE</t>
  </si>
  <si>
    <t>* bez amortyzacji</t>
  </si>
  <si>
    <t>OGÓLNE KOSZTY ADMINISTRACYJNE* - NARASTAJĄCO</t>
  </si>
  <si>
    <t>GENERAL AND ADMINISTRATIVE EXPENSES* - QUARTERLY</t>
  </si>
  <si>
    <t>OGÓLNE KOSZTY ADMINISTRACYJNE* - KWARTALNIE</t>
  </si>
  <si>
    <t>** z uwzględnieniem składki na fundusz przymusowej restrukturyzacji (do końca 2017 prezentowanej w pozostałych kosztach operacyjnych)</t>
  </si>
  <si>
    <t>BILANS</t>
  </si>
  <si>
    <t>KREDYTY I DEPOZYTY</t>
  </si>
  <si>
    <t xml:space="preserve">LOANS AND DEPOSITS </t>
  </si>
  <si>
    <t>** bez utratu wartości atywów finansowych i niefinansowych</t>
  </si>
  <si>
    <t xml:space="preserve">Administrative expenses </t>
  </si>
  <si>
    <t>** without impairment losses on financial and non-financial assets</t>
  </si>
  <si>
    <t>KREDYTY DLA KLIENTÓW - wyceniane wg zamortyzowanego kosztu (brutto)</t>
  </si>
  <si>
    <t>KREDYTY DLA KLIENTÓW - wyceniane wg zamortyzowanego kosztu (net)</t>
  </si>
  <si>
    <t>ODPISY NA KREDYTY DLA KLIENTÓW - wyceniane wg zamortyzowanego kosztu (brutto)</t>
  </si>
  <si>
    <t>TOTAL PROVISIONS</t>
  </si>
  <si>
    <t>Odpisy razem</t>
  </si>
  <si>
    <t>(PLN '000)</t>
  </si>
  <si>
    <t>Fees &amp; Commissions Income    (PLN '000)</t>
  </si>
  <si>
    <t>Fees &amp; Commissions Cost       (PLN '000)</t>
  </si>
  <si>
    <t>Net Fees &amp; Commissions        (PLN '000)</t>
  </si>
  <si>
    <t>Fees &amp; Commissions Cost    (PLN '000)</t>
  </si>
  <si>
    <t>Net Fees &amp; Commissions     (PLN '000)</t>
  </si>
  <si>
    <t xml:space="preserve">    (PLN '000)</t>
  </si>
  <si>
    <t xml:space="preserve">   (PLN '000)</t>
  </si>
  <si>
    <t>LOANS TO CUSTOMERS (gross) - at amortised cost</t>
  </si>
  <si>
    <t>PROVISIONS ON CUSTOMER LOANS - at amortised cost</t>
  </si>
  <si>
    <t>LOANS TO CUSTOMERS (net) - at amortised cost</t>
  </si>
  <si>
    <t>1.01.2020 -31.03.2020</t>
  </si>
  <si>
    <t>31.03.2020</t>
  </si>
  <si>
    <t>Rezerwy z tytułu COVID-19</t>
  </si>
  <si>
    <t>Provisions for COVID19</t>
  </si>
  <si>
    <t>+3,08 p.p.</t>
  </si>
  <si>
    <t>+ 5,89 p.p.</t>
  </si>
  <si>
    <t>+ 4,84 p.p.</t>
  </si>
  <si>
    <t>+ 4,63 p.p.</t>
  </si>
  <si>
    <t>+ 2,53 p.p.</t>
  </si>
  <si>
    <t>+ 6,83 p.p.</t>
  </si>
  <si>
    <t>+ 0,36 p.p.</t>
  </si>
  <si>
    <t>+ 0,47 p.p.</t>
  </si>
  <si>
    <t>+ 1,72 p.p.</t>
  </si>
  <si>
    <t>+ 4,16 p.p.</t>
  </si>
  <si>
    <t>+ 5,47 p.p.</t>
  </si>
  <si>
    <t>+ 7,14 p.p.</t>
  </si>
  <si>
    <t>+ 6,15 p.p.</t>
  </si>
  <si>
    <t>+ 5,96 p.p.</t>
  </si>
  <si>
    <t>+ 4,19 p.p.</t>
  </si>
  <si>
    <t>+ 5,34 p.p.</t>
  </si>
  <si>
    <t>+ 0,68 p.p.</t>
  </si>
  <si>
    <t>+ 0,87 p.p.</t>
  </si>
  <si>
    <t>+ 1,76 p.p.</t>
  </si>
  <si>
    <t>+ 4,36 p.p.</t>
  </si>
  <si>
    <t>Quality of loans and advances to customers portfolio valued at amortised cost</t>
  </si>
  <si>
    <t>Jakość portfela kredytów i pożyczek wycenianych wg zamortyzowanego kosztu</t>
  </si>
  <si>
    <t>Loans and advances to customers (gross)</t>
  </si>
  <si>
    <t>Kredyty i pożyczki udzielone klientom (brutto)</t>
  </si>
  <si>
    <t>impaired</t>
  </si>
  <si>
    <t>z rozpoznaną utratą wartości</t>
  </si>
  <si>
    <t>not impaired</t>
  </si>
  <si>
    <t>bez rozpoznanej utraty wartości</t>
  </si>
  <si>
    <t>Impairment write-offs</t>
  </si>
  <si>
    <t>Odpis aktualizacyjny z tytułu utraty wartości</t>
  </si>
  <si>
    <t>for impaired exposures</t>
  </si>
  <si>
    <t>na ekspozycje z rozpoznaną utratą wartości</t>
  </si>
  <si>
    <t>na ekspozycje bez rozpoznanej utraty wartości</t>
  </si>
  <si>
    <t>Loans and advances to customers (net)</t>
  </si>
  <si>
    <t>Kredyty i pożyczki udzielone klientom (netto):</t>
  </si>
  <si>
    <t>Loans and advances to customers portfolio valued at amortised cost by methodology of impairment assessment</t>
  </si>
  <si>
    <t>Podział kredytów i pożyczek wycenianych wg zamortyzowanego kosztu ze względu na metodę szacunku utraty wartości</t>
  </si>
  <si>
    <t>case by case analysis</t>
  </si>
  <si>
    <t>wyceniane indywidualnie</t>
  </si>
  <si>
    <t>collective analysis</t>
  </si>
  <si>
    <t>wyceniane portfelowo</t>
  </si>
  <si>
    <t>Impairment allowances</t>
  </si>
  <si>
    <t>on the basis of case by case analysis</t>
  </si>
  <si>
    <t>utworzony na bazie analizy indywidualnej</t>
  </si>
  <si>
    <t>on the basis of collective analysis</t>
  </si>
  <si>
    <t>utworzony na bazie analizy kolektywnej</t>
  </si>
  <si>
    <t>Impairment allowances and gross carrying amount of loans and advances divided into stages and classes</t>
  </si>
  <si>
    <t>Odpisy z tytułu utraty wartości i wartość bilansowa brutto kredytów i pożyczek wycenianych wg zamortyzowanego kosztu w podziale na koszyki i klasy</t>
  </si>
  <si>
    <t>Stage 1</t>
  </si>
  <si>
    <t>Koszyk 1</t>
  </si>
  <si>
    <t>Stage 2</t>
  </si>
  <si>
    <t>Koszyk 2</t>
  </si>
  <si>
    <t>Stage 3</t>
  </si>
  <si>
    <t>Koszyk 3</t>
  </si>
  <si>
    <t>POCI</t>
  </si>
  <si>
    <t>Razem</t>
  </si>
  <si>
    <t>Companies: impairment allowances</t>
  </si>
  <si>
    <t>Przedsiębiorstwa: odpisy z tytułu utraty wartości</t>
  </si>
  <si>
    <t>Individuals: loans and advances balance sheet value, gross</t>
  </si>
  <si>
    <t>Osoby prywatne: kredyty i pożyczki wartość bilansowa brutto</t>
  </si>
  <si>
    <t>Individuals: impairment allowances</t>
  </si>
  <si>
    <t>Osoby prywatne: odpisy z tytułu utraty wartości</t>
  </si>
  <si>
    <r>
      <t xml:space="preserve">for </t>
    </r>
    <r>
      <rPr>
        <sz val="8"/>
        <color indexed="8"/>
        <rFont val="Trebuchet MS"/>
        <family val="2"/>
        <charset val="238"/>
      </rPr>
      <t>not impaired exposures</t>
    </r>
  </si>
  <si>
    <t>Companies: loans and advances balance sheet value, gross, EOP</t>
  </si>
  <si>
    <t>Przedsiębiorstwa: kredyty i pożyczki wartość bilansowa brutto, koniec okresu</t>
  </si>
  <si>
    <t>30.06.2020</t>
  </si>
  <si>
    <t>1.04.2020 -30.06.2020</t>
  </si>
  <si>
    <t>1.01.2020 -30.06.2020</t>
  </si>
  <si>
    <t>+ 4,65 p.p.</t>
  </si>
  <si>
    <t>+ 4,81 p.p.</t>
  </si>
  <si>
    <t>30.09.2020</t>
  </si>
  <si>
    <t>1.07.2020 -30.09.2020</t>
  </si>
  <si>
    <t>1.01.2020 -30.09.2020</t>
  </si>
  <si>
    <t>Akcje własne</t>
  </si>
  <si>
    <t>+ 4,83 p.p.</t>
  </si>
  <si>
    <t>(PLNmn)</t>
  </si>
  <si>
    <t>(mln zł)</t>
  </si>
  <si>
    <t>31.12.2020</t>
  </si>
  <si>
    <t>+ 5,39 p.p.</t>
  </si>
  <si>
    <t>+ 5,23 p.p.</t>
  </si>
  <si>
    <t>1.10.2020 -31.12.2020</t>
  </si>
  <si>
    <t>1.01.2020 -31.12.2020</t>
  </si>
  <si>
    <t>Active FTE***</t>
  </si>
  <si>
    <t>Aktywne zatrudnienie (etaty)***</t>
  </si>
  <si>
    <t>*** without employees on long leaves</t>
  </si>
  <si>
    <t>1.01.2021 -31.03.2021</t>
  </si>
  <si>
    <t>31.03.2021</t>
  </si>
  <si>
    <t>+ 5,27 p.p.</t>
  </si>
  <si>
    <t>+ 5,05 p.p.</t>
  </si>
  <si>
    <t>1.04.2021 -30.06.2021</t>
  </si>
  <si>
    <t>1.01.2021 -30.06.2021</t>
  </si>
  <si>
    <t xml:space="preserve">* including interest on swaps </t>
  </si>
  <si>
    <t xml:space="preserve">* zawiera odsetki od swap-ów </t>
  </si>
  <si>
    <t>*** Result on loan portfolio presented at fair value is presented as a separate line (together with other "cost of risk" items) whereas in financial statements it is presented under Result on non-trading financial assets mandatorily at fair value through profit or loss</t>
  </si>
  <si>
    <t>*** Wynik na portfelu wycenianym wg wartości godziwej prezentowany jest w oddzielnej linii (obok pozostałych pozycji składających się na  "koszt ryzyka") podczas gdy w sprawozdaniu finansowym jest prezentowany w  wyniku z tytułu aktywów finansowych nieprzeznaczonych do obrotu wycenianych obowiązkowo według wartości godziwej przez wynik finansowy</t>
  </si>
  <si>
    <t>RACHUNEK ZYSKÓW I STRAT - KWARTALNIE</t>
  </si>
  <si>
    <t xml:space="preserve">Results on financial assets and liabilities held for trading </t>
  </si>
  <si>
    <t>Financial assets held for trading - derivatives</t>
  </si>
  <si>
    <t>Aktywa finansowe przeznaczone do obrotu - Instrumenty pochodne</t>
  </si>
  <si>
    <t>30.06.2021</t>
  </si>
  <si>
    <t>+ 4,55 p.p.</t>
  </si>
  <si>
    <t>1.07.2021 -30.09.2021</t>
  </si>
  <si>
    <t>1.01.2021 -30.09.2021</t>
  </si>
  <si>
    <t>30.09.2021</t>
  </si>
  <si>
    <t>+ 4,07 p.p.</t>
  </si>
  <si>
    <t>+ 3,85 p.p.</t>
  </si>
  <si>
    <t>1.10.2021 -31.12.2021</t>
  </si>
  <si>
    <t>1.01.2021 -31.12.2021</t>
  </si>
  <si>
    <t>31.12.2021</t>
  </si>
  <si>
    <t>+ 3,52 p.p.</t>
  </si>
  <si>
    <t>+ 3,13 p.p.</t>
  </si>
  <si>
    <t>1.01.2022 -31.03.2022</t>
  </si>
  <si>
    <t>31.03.2022</t>
  </si>
  <si>
    <t>+ 2,44 p.p.</t>
  </si>
  <si>
    <t>+ 2,02 p.p.</t>
  </si>
  <si>
    <t>30.06.2022</t>
  </si>
  <si>
    <t>+ 1,65 p.p.</t>
  </si>
  <si>
    <t>+ 1,28 p.p.</t>
  </si>
  <si>
    <t>1.01.2022 -30.06.2022</t>
  </si>
  <si>
    <t>1.04.2022 -30.06.2022</t>
  </si>
  <si>
    <t>30.09.2022</t>
  </si>
  <si>
    <t>Cost of credit holidays resulting from Act of 7 July 2022 on crowdfunding for business ventures and assistance to borrowers</t>
  </si>
  <si>
    <t>Koszty wakacji kredytowych wynikające z ustawy z dnia 7 lipca 2022 r. o finansowaniu społecznościowym dla przedsięwzięć gospodarczych i pomocy kredytobiorcom</t>
  </si>
  <si>
    <t>1.07.2022 -30.09.2022</t>
  </si>
  <si>
    <t>1.01.2022 -30.09.2022</t>
  </si>
  <si>
    <t>Banking Guarantee Fund and protection scheme costs  **</t>
  </si>
  <si>
    <t>Koszty BFG i systemu ochrony**</t>
  </si>
  <si>
    <t>9.45%</t>
  </si>
  <si>
    <t>1.01.2022 -31.12.2022</t>
  </si>
  <si>
    <t>1.10.2022 -31.12.2022</t>
  </si>
  <si>
    <t>Przychody z tytułu odsetek bez uwzgl. wakacji</t>
  </si>
  <si>
    <t>Wynik z tytułu odsetek bez uwzgl. wakacji</t>
  </si>
  <si>
    <t xml:space="preserve">Interest income w/o cost of credit holidays </t>
  </si>
  <si>
    <t xml:space="preserve">Net interest income w/o cost of credit holidays </t>
  </si>
  <si>
    <t>**) including:</t>
  </si>
  <si>
    <t>**) w tym:</t>
  </si>
  <si>
    <t>Loans and advances to customers **)</t>
  </si>
  <si>
    <t>Kredyty i pożyczki udzielone klientom **)</t>
  </si>
  <si>
    <t>31.12.2022</t>
  </si>
  <si>
    <t>-1,18 p.p.</t>
  </si>
  <si>
    <t>+1,73 p.p.</t>
  </si>
  <si>
    <t>-1.39 p.p.</t>
  </si>
  <si>
    <t>+1,07 p.p.</t>
  </si>
  <si>
    <t>1.01.2023 -31.03.2023</t>
  </si>
  <si>
    <t>31.03.2023</t>
  </si>
  <si>
    <t>+1,45 p.p.</t>
  </si>
  <si>
    <t>+0,83 p.p.</t>
  </si>
  <si>
    <t>w tysiącach zł</t>
  </si>
  <si>
    <t>Instrumenty pochodne</t>
  </si>
  <si>
    <t>Instrumenty kapitałowe</t>
  </si>
  <si>
    <t>Aktywa finansowe nieprzeznaczone do obrotu obowiązkowo wyceniane według wartości godziwej przez rachunek zysków i strat, inne niż Kredyty i pożyczki udzielone klientom</t>
  </si>
  <si>
    <t>Aktywa finansowe wyceniane według wartości godziwej przez inne całkowite dochody</t>
  </si>
  <si>
    <t>Kredyty i pożyczki udzielone klientom</t>
  </si>
  <si>
    <t>Obowiązkowo wyceniane według wartości godziwej przez rachunek zysków i strat</t>
  </si>
  <si>
    <t>Wyceniane według zamortyzowanego kosztu</t>
  </si>
  <si>
    <t>Rzeczowe aktywa trwałe</t>
  </si>
  <si>
    <t>Wartości niematerialne</t>
  </si>
  <si>
    <t>Aktywa z tytułu podatku dochodowego</t>
  </si>
  <si>
    <t>Bieżące należności podatkowe</t>
  </si>
  <si>
    <t>Aktywa z tytułu odroczonego podatku dochodowego</t>
  </si>
  <si>
    <t>Pozostałe aktywa</t>
  </si>
  <si>
    <t>Aktywa trwałe i grupy do zbycia sklasyfikowane jako przeznaczone do sprzedaży</t>
  </si>
  <si>
    <t>Aktywa razem</t>
  </si>
  <si>
    <t>ZOBOWIĄZANIA I KAPITAŁ WŁASNY</t>
  </si>
  <si>
    <t>ZOBOWIĄZANIA</t>
  </si>
  <si>
    <t>Zobowiązania z tytułu krótkiej sprzedaży papierów wartościowych</t>
  </si>
  <si>
    <t xml:space="preserve">Nierozstrzygnięte sprawy sporne </t>
  </si>
  <si>
    <t>Udzielone zobowiązania i gwarancje</t>
  </si>
  <si>
    <t>Ryzyko wynikające z COVID-19</t>
  </si>
  <si>
    <t xml:space="preserve">Zobowiązania podatkowe </t>
  </si>
  <si>
    <t>Bieżące zobowiązania podatkowe</t>
  </si>
  <si>
    <t>Rezerwy z tytułu odroczonego podatku dochodowego</t>
  </si>
  <si>
    <t>Inne zobowiązania</t>
  </si>
  <si>
    <t>Zobowiązania razem</t>
  </si>
  <si>
    <t xml:space="preserve">KAPITAŁ WŁASNY </t>
  </si>
  <si>
    <t>Kapitał ze sprzedaży akcji powyżej wartości nominalnej</t>
  </si>
  <si>
    <t>Kapitał własny razem</t>
  </si>
  <si>
    <t>Zobowiązania i kapitał własny razem</t>
  </si>
  <si>
    <t>Net interest income</t>
  </si>
  <si>
    <t>Dividends, other income from financial operations and foreign exchange profit</t>
  </si>
  <si>
    <t>Result on non-trading financial assets mandatorily at fair value through profit or loss</t>
  </si>
  <si>
    <t>Other operating income and cost</t>
  </si>
  <si>
    <t>Administrative costs, including:</t>
  </si>
  <si>
    <t>Depreciation and amortization</t>
  </si>
  <si>
    <t>Operating expenses</t>
  </si>
  <si>
    <t>Impairment losses on assets</t>
  </si>
  <si>
    <t>Results on modification</t>
  </si>
  <si>
    <t>Total operating result</t>
  </si>
  <si>
    <t>Wynik z tytułu odsetek</t>
  </si>
  <si>
    <t>Wynik z tytułu opłat i prowizji</t>
  </si>
  <si>
    <t>Koszty administracyjne, w tym:</t>
  </si>
  <si>
    <t>Koszty z tytułu utraty wartości aktywów</t>
  </si>
  <si>
    <t>Koszty rezerw na ryzyko prawne z tytułu walutowych kredytów hipotecznych</t>
  </si>
  <si>
    <t>Wynik operacyjny razem</t>
  </si>
  <si>
    <t>Dywidendy, pozostałe przychody z operacji finansowych oraz pozycji wymiany</t>
  </si>
  <si>
    <t>Pozostałe przychody i koszty operacyjne</t>
  </si>
  <si>
    <t>- BGF and protection scheme costs</t>
  </si>
  <si>
    <t xml:space="preserve">Provisions for legal risk connected with FX mortgage loans  </t>
  </si>
  <si>
    <t>Wynik z aktywów finansowych wycenianych obowiązkowo według wartości godziwej przez wynik finansowy</t>
  </si>
  <si>
    <t xml:space="preserve">Przychody operacyjne razem </t>
  </si>
  <si>
    <t xml:space="preserve">Koszty osobowe </t>
  </si>
  <si>
    <t xml:space="preserve">Koszty operacyjne razem </t>
  </si>
  <si>
    <t>BANKOWOŚĆ DETALICZNA - KWARTALNIE</t>
  </si>
  <si>
    <t>RETAIL BANKING - QUARTERLY</t>
  </si>
  <si>
    <r>
      <t xml:space="preserve">   - </t>
    </r>
    <r>
      <rPr>
        <i/>
        <sz val="9"/>
        <color rgb="FF000000"/>
        <rFont val="Trebuchet MS"/>
        <family val="2"/>
        <charset val="238"/>
      </rPr>
      <t>Koszty BFG i systemu ochrony</t>
    </r>
  </si>
  <si>
    <t>RETAIL BANKING - YEAR TO DATE</t>
  </si>
  <si>
    <t>BANKOWOŚĆ DETALICZNA - NARASTAJĄCO</t>
  </si>
  <si>
    <t>CORPORATE BANKING - YEAR TO DATE</t>
  </si>
  <si>
    <t>BANKOWOŚĆ KORPORACYJNA - NARASTAJĄCO</t>
  </si>
  <si>
    <t>TREASURY, ALM &amp; OTHER - QUARTERLY</t>
  </si>
  <si>
    <t>SKARB, ALM I INNE - KWARTALNIE</t>
  </si>
  <si>
    <t>HIPOTEKI WALUTOWE - KWARTALNIE</t>
  </si>
  <si>
    <t>HIPOTEKI WALUTOWE - NARASTAJĄCO</t>
  </si>
  <si>
    <r>
      <t xml:space="preserve">   - </t>
    </r>
    <r>
      <rPr>
        <i/>
        <sz val="9"/>
        <rFont val="Trebuchet MS"/>
        <family val="2"/>
        <charset val="238"/>
      </rPr>
      <t>Koszty BFG i systemu ochrony</t>
    </r>
  </si>
  <si>
    <t>Derivatives</t>
  </si>
  <si>
    <t>Equity instruments</t>
  </si>
  <si>
    <t xml:space="preserve">Financial assets at fair value through other comprehensive income </t>
  </si>
  <si>
    <t>Loans and advances to customers</t>
  </si>
  <si>
    <t>Mandatorily at fair value through profit or loss</t>
  </si>
  <si>
    <t>Valued at amortised cost</t>
  </si>
  <si>
    <t>Financial assets at amortised cost other than Loans and advances to customers</t>
  </si>
  <si>
    <t>Reverse sale and repurchase agreements</t>
  </si>
  <si>
    <t>Tangible fixed  assets</t>
  </si>
  <si>
    <t>Intangible fixed assets</t>
  </si>
  <si>
    <t xml:space="preserve">Income tax assets </t>
  </si>
  <si>
    <t>Current income tax assets</t>
  </si>
  <si>
    <t xml:space="preserve">Deferred income tax assets </t>
  </si>
  <si>
    <t>Non-current assets and disposal groups classified as held for sale</t>
  </si>
  <si>
    <t>Total assets</t>
  </si>
  <si>
    <t>AKTYWA</t>
  </si>
  <si>
    <t>LIABILITIES</t>
  </si>
  <si>
    <t xml:space="preserve">Liabilities from short sale of securities </t>
  </si>
  <si>
    <t>Liabilities to banks and other monetary institutions</t>
  </si>
  <si>
    <t>Sale and repurchase agreements</t>
  </si>
  <si>
    <t xml:space="preserve">Pending legal issues </t>
  </si>
  <si>
    <t>Commitments and guarantees given</t>
  </si>
  <si>
    <t xml:space="preserve">Income tax liabilities </t>
  </si>
  <si>
    <t>Current income tax liabilities</t>
  </si>
  <si>
    <t>Deferred income tax liabilities</t>
  </si>
  <si>
    <t>Share capital</t>
  </si>
  <si>
    <t>Own shares</t>
  </si>
  <si>
    <t>Total equity</t>
  </si>
  <si>
    <t>Total equity and total liabilities</t>
  </si>
  <si>
    <t>1.01.2023 -30.06.2023</t>
  </si>
  <si>
    <t>1.04.2023 -30.06.2023</t>
  </si>
  <si>
    <t xml:space="preserve">Wynik z tytułu aktywów i zobowiązań finansowych przeznaczonych do obrotu </t>
  </si>
  <si>
    <t>30.06.2023</t>
  </si>
  <si>
    <t>1.01.2023 -30.09.2023</t>
  </si>
  <si>
    <t>1.07.2023 -30.09.2023</t>
  </si>
  <si>
    <t>30.09.2023</t>
  </si>
  <si>
    <t>ASSETS</t>
  </si>
  <si>
    <t>PLN'000</t>
  </si>
  <si>
    <t>LIABILITIES &amp; EQUITY</t>
  </si>
  <si>
    <t>+2,08 p.p.</t>
  </si>
  <si>
    <t>+3,95 p.p.</t>
  </si>
  <si>
    <t>+1,48 p.p.</t>
  </si>
  <si>
    <t>+3,29 p.p.</t>
  </si>
  <si>
    <t>1.10.2023 -31.12.2023</t>
  </si>
  <si>
    <t>1.01.2023 -31.12.2023</t>
  </si>
  <si>
    <t>31.12.2023</t>
  </si>
  <si>
    <t>+5,85 p.p.</t>
  </si>
  <si>
    <t>+4,88 p.p.</t>
  </si>
  <si>
    <t>1.01.2024 -31.03.2024</t>
  </si>
  <si>
    <t>31.03.2024</t>
  </si>
  <si>
    <t>FX MORTGAGE LOANS - QUARTERLY</t>
  </si>
  <si>
    <t>FX MORTGAGE LOANS - YEAR TO DATE</t>
  </si>
  <si>
    <t>+5,80 p.p.</t>
  </si>
  <si>
    <t>+5,06 p.p.</t>
  </si>
  <si>
    <t>1.04.2024 -30.06.2024</t>
  </si>
  <si>
    <t>1.01.2024 -30.06.2024</t>
  </si>
  <si>
    <t>30.06.2024</t>
  </si>
  <si>
    <t>+4,92 p.p.</t>
  </si>
  <si>
    <t>+4,41 p.p.</t>
  </si>
  <si>
    <t>30.09.2024</t>
  </si>
  <si>
    <t>+5,73 p.p.</t>
  </si>
  <si>
    <t>+5,45 p.p.</t>
  </si>
  <si>
    <t>1.07.2024 -30.09.2024</t>
  </si>
  <si>
    <t>1.01.2024 -30.09.2024</t>
  </si>
  <si>
    <t>TREASURY, ALM &amp; OTHER - YEAR TO DATE</t>
  </si>
  <si>
    <t>SKARB, ALM I INNE - NARASTAJĄCO</t>
  </si>
  <si>
    <t>31.12.2024</t>
  </si>
  <si>
    <t>1.10.2024 -31.12.2024</t>
  </si>
  <si>
    <t>1.01.2024 -31.12.2024</t>
  </si>
  <si>
    <t>45 116.2</t>
  </si>
  <si>
    <t>+5.03 p.p.</t>
  </si>
  <si>
    <t>+4.97 p.p.</t>
  </si>
  <si>
    <t>1.01.2025 -31.03.2025</t>
  </si>
  <si>
    <t>31.03.2025</t>
  </si>
  <si>
    <t>+6,59 p.p.</t>
  </si>
  <si>
    <t>+6,40 p.p.</t>
  </si>
  <si>
    <t>restated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</si>
</sst>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;[Red]\(#,##0\)"/>
    <numFmt numFmtId="165" formatCode="#,##0.00;[Red]\(#,##0.00\)"/>
    <numFmt numFmtId="166" formatCode="#,##0.0"/>
    <numFmt numFmtId="167" formatCode="0.000"/>
    <numFmt numFmtId="168" formatCode="0.0"/>
    <numFmt numFmtId="169" formatCode="0.0%"/>
  </numFmts>
  <fonts count="46">
    <font>
      <sz val="11"/>
      <color theme="1"/>
      <name val="Trebuchet MS"/>
      <family val="2"/>
      <charset val="238"/>
    </font>
    <font>
      <sz val="10"/>
      <name val="Arial CE"/>
      <charset val="238"/>
    </font>
    <font>
      <sz val="13.5"/>
      <name val="MS Sans Serif"/>
      <family val="2"/>
      <charset val="238"/>
    </font>
    <font>
      <sz val="9"/>
      <color indexed="8"/>
      <name val="Trebuchet MS"/>
      <family val="2"/>
      <charset val="238"/>
    </font>
    <font>
      <b/>
      <sz val="9"/>
      <name val="Trebuchet MS"/>
      <family val="2"/>
      <charset val="238"/>
    </font>
    <font>
      <b/>
      <sz val="9"/>
      <color indexed="8"/>
      <name val="Trebuchet MS"/>
      <family val="2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vertAlign val="superscript"/>
      <sz val="9"/>
      <color indexed="8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9"/>
      <color rgb="FFFFFFFF"/>
      <name val="Trebuchet MS"/>
      <family val="2"/>
      <charset val="238"/>
    </font>
    <font>
      <i/>
      <sz val="9"/>
      <color theme="1"/>
      <name val="Trebuchet MS"/>
      <family val="2"/>
      <charset val="238"/>
    </font>
    <font>
      <sz val="9"/>
      <color rgb="FFFF0000"/>
      <name val="Trebuchet MS"/>
      <family val="2"/>
      <charset val="238"/>
    </font>
    <font>
      <b/>
      <sz val="12"/>
      <color rgb="FFCC0066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9"/>
      <color rgb="FF000000"/>
      <name val="Trebuchet MS"/>
      <family val="2"/>
      <charset val="238"/>
    </font>
    <font>
      <b/>
      <sz val="9"/>
      <color rgb="FFFF0000"/>
      <name val="Trebuchet MS"/>
      <family val="2"/>
      <charset val="238"/>
    </font>
    <font>
      <b/>
      <sz val="9"/>
      <color rgb="FFFFFFFF"/>
      <name val="Trebuchet MS"/>
      <family val="2"/>
      <charset val="238"/>
    </font>
    <font>
      <sz val="8"/>
      <color theme="1"/>
      <name val="Trebuchet MS"/>
      <family val="2"/>
      <charset val="238"/>
    </font>
    <font>
      <b/>
      <sz val="12"/>
      <color rgb="FFC60052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9"/>
      <color rgb="FFC00000"/>
      <name val="Trebuchet MS"/>
      <family val="2"/>
      <charset val="238"/>
    </font>
    <font>
      <b/>
      <sz val="11"/>
      <color theme="1"/>
      <name val="Calibri"/>
      <family val="2"/>
      <charset val="238"/>
    </font>
    <font>
      <sz val="8"/>
      <name val="Trebuchet MS"/>
      <family val="2"/>
      <charset val="238"/>
    </font>
    <font>
      <sz val="8"/>
      <color rgb="FF000000"/>
      <name val="Trebuchet MS"/>
      <family val="2"/>
      <charset val="238"/>
    </font>
    <font>
      <sz val="8"/>
      <color rgb="FFFF0000"/>
      <name val="Trebuchet MS"/>
      <family val="2"/>
      <charset val="238"/>
    </font>
    <font>
      <b/>
      <sz val="8"/>
      <color rgb="FF000000"/>
      <name val="Trebuchet MS"/>
      <family val="2"/>
      <charset val="238"/>
    </font>
    <font>
      <b/>
      <sz val="8"/>
      <color rgb="FFC60052"/>
      <name val="Trebuchet MS"/>
      <family val="2"/>
      <charset val="238"/>
    </font>
    <font>
      <b/>
      <sz val="8"/>
      <color rgb="FFFFFFFF"/>
      <name val="Trebuchet MS"/>
      <family val="2"/>
      <charset val="238"/>
    </font>
    <font>
      <sz val="8"/>
      <color indexed="8"/>
      <name val="Trebuchet MS"/>
      <family val="2"/>
      <charset val="238"/>
    </font>
    <font>
      <b/>
      <sz val="8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  <charset val="238"/>
    </font>
    <font>
      <sz val="9"/>
      <name val="Arial"/>
      <family val="2"/>
      <charset val="238"/>
    </font>
    <font>
      <i/>
      <sz val="9"/>
      <color rgb="FFFFFFFF"/>
      <name val="Trebuchet MS"/>
      <family val="2"/>
      <charset val="238"/>
    </font>
    <font>
      <b/>
      <sz val="8"/>
      <color indexed="8"/>
      <name val="Trebuchet MS"/>
      <family val="2"/>
      <charset val="238"/>
    </font>
    <font>
      <sz val="9"/>
      <name val="Arial CE"/>
      <charset val="238"/>
    </font>
    <font>
      <i/>
      <sz val="9"/>
      <color rgb="FF000000"/>
      <name val="Trebuchet MS"/>
      <family val="2"/>
      <charset val="238"/>
    </font>
    <font>
      <i/>
      <sz val="9"/>
      <color rgb="FFFF0000"/>
      <name val="Trebuchet MS"/>
      <family val="2"/>
      <charset val="238"/>
    </font>
    <font>
      <i/>
      <sz val="9"/>
      <name val="Trebuchet MS"/>
      <family val="2"/>
      <charset val="238"/>
    </font>
    <font>
      <b/>
      <sz val="8"/>
      <color rgb="FFAC0033"/>
      <name val="Trebuchet MS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D0067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/>
      <bottom style="medium">
        <color rgb="FFAB0034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C003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2" fillId="0" borderId="0"/>
    <xf numFmtId="9" fontId="34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7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43" fontId="35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67">
    <xf numFmtId="0" fontId="0" fillId="0" borderId="0" xfId="0"/>
    <xf numFmtId="0" fontId="12" fillId="0" borderId="0" xfId="0" applyFont="1"/>
    <xf numFmtId="164" fontId="5" fillId="0" borderId="1" xfId="2" applyNumberFormat="1" applyFont="1" applyBorder="1" applyAlignment="1">
      <alignment horizontal="right" vertical="top" wrapText="1"/>
    </xf>
    <xf numFmtId="164" fontId="5" fillId="2" borderId="1" xfId="2" applyNumberFormat="1" applyFont="1" applyFill="1" applyBorder="1" applyAlignment="1">
      <alignment horizontal="right" vertical="top" wrapText="1"/>
    </xf>
    <xf numFmtId="164" fontId="3" fillId="0" borderId="2" xfId="2" applyNumberFormat="1" applyFont="1" applyBorder="1" applyAlignment="1">
      <alignment horizontal="right" vertical="top" wrapText="1"/>
    </xf>
    <xf numFmtId="164" fontId="3" fillId="0" borderId="3" xfId="2" applyNumberFormat="1" applyFont="1" applyBorder="1" applyAlignment="1">
      <alignment horizontal="right" vertical="top" wrapText="1"/>
    </xf>
    <xf numFmtId="164" fontId="5" fillId="0" borderId="3" xfId="2" applyNumberFormat="1" applyFont="1" applyBorder="1" applyAlignment="1">
      <alignment horizontal="right" vertical="top" wrapText="1"/>
    </xf>
    <xf numFmtId="164" fontId="6" fillId="0" borderId="3" xfId="2" applyNumberFormat="1" applyFont="1" applyBorder="1" applyAlignment="1">
      <alignment horizontal="right" vertical="top" wrapText="1"/>
    </xf>
    <xf numFmtId="164" fontId="3" fillId="0" borderId="4" xfId="2" applyNumberFormat="1" applyFont="1" applyBorder="1" applyAlignment="1">
      <alignment horizontal="right" vertical="top" wrapText="1"/>
    </xf>
    <xf numFmtId="164" fontId="3" fillId="0" borderId="5" xfId="2" applyNumberFormat="1" applyFont="1" applyBorder="1" applyAlignment="1">
      <alignment horizontal="right" vertical="top" wrapText="1"/>
    </xf>
    <xf numFmtId="164" fontId="3" fillId="2" borderId="2" xfId="2" applyNumberFormat="1" applyFont="1" applyFill="1" applyBorder="1" applyAlignment="1">
      <alignment horizontal="right" vertical="top" wrapText="1"/>
    </xf>
    <xf numFmtId="164" fontId="3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vertical="top" wrapText="1"/>
    </xf>
    <xf numFmtId="164" fontId="12" fillId="0" borderId="0" xfId="0" applyNumberFormat="1" applyFont="1"/>
    <xf numFmtId="3" fontId="12" fillId="0" borderId="0" xfId="0" applyNumberFormat="1" applyFont="1"/>
    <xf numFmtId="164" fontId="4" fillId="2" borderId="3" xfId="2" applyNumberFormat="1" applyFont="1" applyFill="1" applyBorder="1" applyAlignment="1">
      <alignment vertical="top" wrapText="1"/>
    </xf>
    <xf numFmtId="0" fontId="14" fillId="0" borderId="0" xfId="0" applyFont="1"/>
    <xf numFmtId="0" fontId="12" fillId="0" borderId="0" xfId="0" applyFont="1" applyAlignment="1">
      <alignment horizontal="left" vertical="center" wrapText="1"/>
    </xf>
    <xf numFmtId="164" fontId="4" fillId="3" borderId="1" xfId="2" applyNumberFormat="1" applyFont="1" applyFill="1" applyBorder="1" applyAlignment="1">
      <alignment horizontal="center"/>
    </xf>
    <xf numFmtId="3" fontId="7" fillId="0" borderId="0" xfId="0" applyNumberFormat="1" applyFont="1"/>
    <xf numFmtId="14" fontId="7" fillId="0" borderId="0" xfId="0" applyNumberFormat="1" applyFont="1" applyAlignment="1">
      <alignment horizontal="center"/>
    </xf>
    <xf numFmtId="3" fontId="8" fillId="0" borderId="0" xfId="0" applyNumberFormat="1" applyFont="1"/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wrapText="1"/>
    </xf>
    <xf numFmtId="3" fontId="7" fillId="0" borderId="0" xfId="0" applyNumberFormat="1" applyFont="1" applyAlignment="1">
      <alignment wrapText="1"/>
    </xf>
    <xf numFmtId="164" fontId="3" fillId="2" borderId="3" xfId="2" applyNumberFormat="1" applyFont="1" applyFill="1" applyBorder="1" applyAlignment="1">
      <alignment horizontal="right" vertical="center" wrapText="1"/>
    </xf>
    <xf numFmtId="164" fontId="3" fillId="0" borderId="2" xfId="2" applyNumberFormat="1" applyFont="1" applyBorder="1" applyAlignment="1">
      <alignment horizontal="right" vertical="center" wrapText="1"/>
    </xf>
    <xf numFmtId="164" fontId="3" fillId="0" borderId="3" xfId="2" applyNumberFormat="1" applyFont="1" applyBorder="1" applyAlignment="1">
      <alignment horizontal="right" vertical="center" wrapText="1"/>
    </xf>
    <xf numFmtId="164" fontId="3" fillId="2" borderId="2" xfId="2" applyNumberFormat="1" applyFont="1" applyFill="1" applyBorder="1" applyAlignment="1">
      <alignment horizontal="right" vertical="center" wrapText="1"/>
    </xf>
    <xf numFmtId="164" fontId="5" fillId="0" borderId="3" xfId="2" applyNumberFormat="1" applyFont="1" applyBorder="1" applyAlignment="1">
      <alignment horizontal="right" vertical="center" wrapText="1"/>
    </xf>
    <xf numFmtId="164" fontId="5" fillId="0" borderId="1" xfId="2" applyNumberFormat="1" applyFont="1" applyBorder="1" applyAlignment="1">
      <alignment horizontal="right" vertical="center" wrapText="1"/>
    </xf>
    <xf numFmtId="164" fontId="5" fillId="2" borderId="3" xfId="2" applyNumberFormat="1" applyFont="1" applyFill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/>
    </xf>
    <xf numFmtId="167" fontId="12" fillId="0" borderId="0" xfId="0" applyNumberFormat="1" applyFont="1"/>
    <xf numFmtId="168" fontId="12" fillId="0" borderId="0" xfId="0" applyNumberFormat="1" applyFont="1"/>
    <xf numFmtId="0" fontId="16" fillId="0" borderId="0" xfId="0" applyFont="1"/>
    <xf numFmtId="0" fontId="12" fillId="0" borderId="0" xfId="0" applyFont="1" applyAlignment="1">
      <alignment horizontal="center"/>
    </xf>
    <xf numFmtId="164" fontId="6" fillId="0" borderId="0" xfId="3" applyNumberFormat="1" applyFont="1" applyAlignment="1">
      <alignment horizontal="right" vertical="center" wrapText="1"/>
    </xf>
    <xf numFmtId="0" fontId="12" fillId="0" borderId="0" xfId="0" applyFont="1" applyAlignment="1">
      <alignment horizontal="justify" vertical="center"/>
    </xf>
    <xf numFmtId="0" fontId="13" fillId="4" borderId="0" xfId="0" applyFont="1" applyFill="1" applyAlignment="1">
      <alignment horizontal="center" vertical="center" wrapText="1"/>
    </xf>
    <xf numFmtId="164" fontId="3" fillId="0" borderId="3" xfId="2" applyNumberFormat="1" applyFont="1" applyBorder="1" applyAlignment="1">
      <alignment vertical="top" wrapText="1"/>
    </xf>
    <xf numFmtId="164" fontId="3" fillId="0" borderId="5" xfId="2" applyNumberFormat="1" applyFont="1" applyBorder="1" applyAlignment="1">
      <alignment vertical="top" wrapText="1"/>
    </xf>
    <xf numFmtId="164" fontId="5" fillId="0" borderId="3" xfId="2" applyNumberFormat="1" applyFont="1" applyBorder="1" applyAlignment="1">
      <alignment vertical="top" wrapText="1"/>
    </xf>
    <xf numFmtId="164" fontId="3" fillId="0" borderId="4" xfId="2" applyNumberFormat="1" applyFont="1" applyBorder="1" applyAlignment="1">
      <alignment vertical="top" wrapText="1"/>
    </xf>
    <xf numFmtId="164" fontId="5" fillId="0" borderId="1" xfId="2" applyNumberFormat="1" applyFont="1" applyBorder="1" applyAlignment="1">
      <alignment vertical="top" wrapText="1"/>
    </xf>
    <xf numFmtId="164" fontId="3" fillId="0" borderId="6" xfId="2" applyNumberFormat="1" applyFont="1" applyBorder="1" applyAlignment="1">
      <alignment vertical="top" wrapText="1"/>
    </xf>
    <xf numFmtId="164" fontId="5" fillId="0" borderId="7" xfId="2" applyNumberFormat="1" applyFont="1" applyBorder="1" applyAlignment="1">
      <alignment vertical="top" wrapText="1"/>
    </xf>
    <xf numFmtId="164" fontId="3" fillId="0" borderId="5" xfId="2" applyNumberFormat="1" applyFont="1" applyBorder="1" applyAlignment="1">
      <alignment vertical="top"/>
    </xf>
    <xf numFmtId="164" fontId="3" fillId="0" borderId="3" xfId="2" applyNumberFormat="1" applyFont="1" applyBorder="1" applyAlignment="1">
      <alignment vertical="top"/>
    </xf>
    <xf numFmtId="164" fontId="5" fillId="0" borderId="1" xfId="2" applyNumberFormat="1" applyFont="1" applyBorder="1" applyAlignment="1">
      <alignment vertical="top"/>
    </xf>
    <xf numFmtId="0" fontId="12" fillId="0" borderId="0" xfId="0" applyFont="1" applyAlignment="1">
      <alignment wrapText="1"/>
    </xf>
    <xf numFmtId="0" fontId="6" fillId="0" borderId="11" xfId="0" applyFont="1" applyBorder="1" applyAlignment="1">
      <alignment horizontal="left" vertical="center" wrapText="1" indent="1"/>
    </xf>
    <xf numFmtId="164" fontId="6" fillId="0" borderId="3" xfId="2" applyNumberFormat="1" applyFont="1" applyBorder="1" applyAlignment="1">
      <alignment vertical="top" wrapText="1"/>
    </xf>
    <xf numFmtId="0" fontId="17" fillId="5" borderId="12" xfId="0" applyFont="1" applyFill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8" fillId="5" borderId="12" xfId="0" applyFont="1" applyFill="1" applyBorder="1" applyAlignment="1">
      <alignment horizontal="left" vertical="center"/>
    </xf>
    <xf numFmtId="0" fontId="17" fillId="5" borderId="12" xfId="0" applyFont="1" applyFill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 indent="1"/>
    </xf>
    <xf numFmtId="0" fontId="18" fillId="5" borderId="12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6" borderId="12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justify" vertical="center" wrapText="1"/>
    </xf>
    <xf numFmtId="0" fontId="17" fillId="0" borderId="12" xfId="0" applyFont="1" applyBorder="1" applyAlignment="1">
      <alignment horizontal="left" vertical="center" indent="1"/>
    </xf>
    <xf numFmtId="164" fontId="4" fillId="2" borderId="0" xfId="2" applyNumberFormat="1" applyFont="1" applyFill="1" applyAlignment="1">
      <alignment vertical="top" wrapText="1"/>
    </xf>
    <xf numFmtId="164" fontId="15" fillId="5" borderId="1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17" fillId="6" borderId="12" xfId="0" applyNumberFormat="1" applyFont="1" applyFill="1" applyBorder="1" applyAlignment="1">
      <alignment horizontal="justify" vertical="center" wrapText="1"/>
    </xf>
    <xf numFmtId="164" fontId="15" fillId="0" borderId="12" xfId="0" applyNumberFormat="1" applyFont="1" applyBorder="1" applyAlignment="1">
      <alignment horizontal="right" vertical="center"/>
    </xf>
    <xf numFmtId="164" fontId="17" fillId="0" borderId="12" xfId="0" applyNumberFormat="1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/>
    </xf>
    <xf numFmtId="164" fontId="17" fillId="0" borderId="12" xfId="0" applyNumberFormat="1" applyFont="1" applyBorder="1" applyAlignment="1">
      <alignment horizontal="justify" vertical="center" wrapText="1"/>
    </xf>
    <xf numFmtId="164" fontId="19" fillId="5" borderId="12" xfId="0" applyNumberFormat="1" applyFont="1" applyFill="1" applyBorder="1" applyAlignment="1">
      <alignment horizontal="right" vertical="center"/>
    </xf>
    <xf numFmtId="164" fontId="17" fillId="5" borderId="12" xfId="0" applyNumberFormat="1" applyFont="1" applyFill="1" applyBorder="1" applyAlignment="1">
      <alignment horizontal="right" vertical="center"/>
    </xf>
    <xf numFmtId="164" fontId="17" fillId="5" borderId="12" xfId="0" applyNumberFormat="1" applyFont="1" applyFill="1" applyBorder="1" applyAlignment="1">
      <alignment horizontal="left" vertical="center" wrapText="1"/>
    </xf>
    <xf numFmtId="164" fontId="17" fillId="0" borderId="12" xfId="0" applyNumberFormat="1" applyFont="1" applyBorder="1" applyAlignment="1">
      <alignment horizontal="right" vertical="center"/>
    </xf>
    <xf numFmtId="164" fontId="18" fillId="5" borderId="12" xfId="0" applyNumberFormat="1" applyFont="1" applyFill="1" applyBorder="1" applyAlignment="1">
      <alignment horizontal="right" vertical="center"/>
    </xf>
    <xf numFmtId="164" fontId="18" fillId="5" borderId="12" xfId="0" applyNumberFormat="1" applyFont="1" applyFill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/>
    </xf>
    <xf numFmtId="164" fontId="3" fillId="0" borderId="0" xfId="2" applyNumberFormat="1" applyFont="1" applyAlignment="1">
      <alignment horizontal="right" vertical="top" wrapText="1"/>
    </xf>
    <xf numFmtId="164" fontId="3" fillId="0" borderId="3" xfId="2" applyNumberFormat="1" applyFont="1" applyBorder="1" applyAlignment="1">
      <alignment horizontal="left" vertical="top" wrapText="1"/>
    </xf>
    <xf numFmtId="164" fontId="4" fillId="0" borderId="4" xfId="2" applyNumberFormat="1" applyFont="1" applyBorder="1" applyAlignment="1">
      <alignment vertical="top" wrapText="1"/>
    </xf>
    <xf numFmtId="164" fontId="6" fillId="0" borderId="4" xfId="2" applyNumberFormat="1" applyFont="1" applyBorder="1" applyAlignment="1">
      <alignment horizontal="right" vertical="top"/>
    </xf>
    <xf numFmtId="164" fontId="4" fillId="0" borderId="1" xfId="2" applyNumberFormat="1" applyFont="1" applyBorder="1" applyAlignment="1">
      <alignment vertical="top" wrapText="1"/>
    </xf>
    <xf numFmtId="165" fontId="4" fillId="0" borderId="1" xfId="2" applyNumberFormat="1" applyFont="1" applyBorder="1" applyAlignment="1">
      <alignment horizontal="right" vertical="top"/>
    </xf>
    <xf numFmtId="164" fontId="15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164" fontId="5" fillId="7" borderId="3" xfId="2" applyNumberFormat="1" applyFont="1" applyFill="1" applyBorder="1" applyAlignment="1">
      <alignment vertical="top" wrapText="1"/>
    </xf>
    <xf numFmtId="164" fontId="3" fillId="7" borderId="3" xfId="2" applyNumberFormat="1" applyFont="1" applyFill="1" applyBorder="1" applyAlignment="1">
      <alignment vertical="top" wrapText="1"/>
    </xf>
    <xf numFmtId="164" fontId="4" fillId="7" borderId="1" xfId="2" applyNumberFormat="1" applyFont="1" applyFill="1" applyBorder="1" applyAlignment="1">
      <alignment horizontal="left" vertical="top" wrapText="1"/>
    </xf>
    <xf numFmtId="164" fontId="6" fillId="7" borderId="1" xfId="2" applyNumberFormat="1" applyFont="1" applyFill="1" applyBorder="1" applyAlignment="1">
      <alignment vertical="top" wrapText="1"/>
    </xf>
    <xf numFmtId="164" fontId="6" fillId="7" borderId="1" xfId="2" applyNumberFormat="1" applyFont="1" applyFill="1" applyBorder="1" applyAlignment="1">
      <alignment horizontal="left" vertical="top" wrapText="1"/>
    </xf>
    <xf numFmtId="164" fontId="6" fillId="7" borderId="3" xfId="2" applyNumberFormat="1" applyFont="1" applyFill="1" applyBorder="1" applyAlignment="1">
      <alignment vertical="top" wrapText="1"/>
    </xf>
    <xf numFmtId="164" fontId="4" fillId="7" borderId="3" xfId="2" applyNumberFormat="1" applyFont="1" applyFill="1" applyBorder="1" applyAlignment="1">
      <alignment vertical="top" wrapText="1"/>
    </xf>
    <xf numFmtId="0" fontId="13" fillId="4" borderId="0" xfId="0" applyFont="1" applyFill="1" applyAlignment="1">
      <alignment horizontal="right" vertical="center" wrapText="1"/>
    </xf>
    <xf numFmtId="0" fontId="20" fillId="4" borderId="0" xfId="0" applyFont="1" applyFill="1" applyAlignment="1">
      <alignment horizontal="left" vertical="center" wrapText="1"/>
    </xf>
    <xf numFmtId="0" fontId="21" fillId="0" borderId="0" xfId="0" applyFont="1"/>
    <xf numFmtId="0" fontId="22" fillId="0" borderId="0" xfId="0" applyFont="1"/>
    <xf numFmtId="164" fontId="5" fillId="0" borderId="6" xfId="2" applyNumberFormat="1" applyFont="1" applyBorder="1" applyAlignment="1">
      <alignment vertical="top" wrapText="1"/>
    </xf>
    <xf numFmtId="164" fontId="3" fillId="0" borderId="8" xfId="2" applyNumberFormat="1" applyFont="1" applyBorder="1" applyAlignment="1">
      <alignment vertical="top" wrapText="1"/>
    </xf>
    <xf numFmtId="164" fontId="3" fillId="0" borderId="9" xfId="2" applyNumberFormat="1" applyFont="1" applyBorder="1" applyAlignment="1">
      <alignment vertical="top" wrapText="1"/>
    </xf>
    <xf numFmtId="164" fontId="3" fillId="0" borderId="6" xfId="2" applyNumberFormat="1" applyFont="1" applyBorder="1" applyAlignment="1">
      <alignment horizontal="left" vertical="top" wrapText="1" indent="2"/>
    </xf>
    <xf numFmtId="164" fontId="18" fillId="0" borderId="0" xfId="0" applyNumberFormat="1" applyFont="1" applyAlignment="1">
      <alignment horizontal="justify" vertical="center" wrapText="1"/>
    </xf>
    <xf numFmtId="164" fontId="19" fillId="0" borderId="0" xfId="0" applyNumberFormat="1" applyFont="1" applyAlignment="1">
      <alignment horizontal="right" vertical="center"/>
    </xf>
    <xf numFmtId="0" fontId="12" fillId="0" borderId="13" xfId="0" applyFont="1" applyBorder="1" applyAlignment="1">
      <alignment horizontal="left" vertical="center" wrapText="1"/>
    </xf>
    <xf numFmtId="166" fontId="12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 indent="4"/>
    </xf>
    <xf numFmtId="0" fontId="12" fillId="0" borderId="13" xfId="0" applyFont="1" applyBorder="1" applyAlignment="1">
      <alignment horizontal="left" vertical="center" wrapText="1" indent="4"/>
    </xf>
    <xf numFmtId="166" fontId="17" fillId="0" borderId="13" xfId="0" applyNumberFormat="1" applyFont="1" applyBorder="1" applyAlignment="1">
      <alignment horizontal="right" vertical="center" wrapText="1"/>
    </xf>
    <xf numFmtId="0" fontId="17" fillId="0" borderId="13" xfId="0" applyFont="1" applyBorder="1" applyAlignment="1">
      <alignment horizontal="left" vertical="center" wrapText="1"/>
    </xf>
    <xf numFmtId="0" fontId="23" fillId="6" borderId="13" xfId="0" applyFont="1" applyFill="1" applyBorder="1" applyAlignment="1">
      <alignment horizontal="left" vertical="center" wrapText="1"/>
    </xf>
    <xf numFmtId="0" fontId="24" fillId="6" borderId="13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right" vertical="center" wrapText="1"/>
    </xf>
    <xf numFmtId="0" fontId="23" fillId="0" borderId="0" xfId="0" applyFont="1"/>
    <xf numFmtId="0" fontId="20" fillId="4" borderId="0" xfId="0" applyFont="1" applyFill="1" applyAlignment="1">
      <alignment vertical="center" wrapText="1"/>
    </xf>
    <xf numFmtId="0" fontId="11" fillId="0" borderId="0" xfId="0" applyFont="1"/>
    <xf numFmtId="164" fontId="11" fillId="0" borderId="0" xfId="0" applyNumberFormat="1" applyFont="1"/>
    <xf numFmtId="0" fontId="20" fillId="4" borderId="14" xfId="0" applyFont="1" applyFill="1" applyBorder="1" applyAlignment="1">
      <alignment horizontal="left" vertical="center" wrapText="1"/>
    </xf>
    <xf numFmtId="0" fontId="25" fillId="4" borderId="14" xfId="0" applyFont="1" applyFill="1" applyBorder="1" applyAlignment="1">
      <alignment vertical="center" wrapText="1"/>
    </xf>
    <xf numFmtId="3" fontId="23" fillId="0" borderId="0" xfId="0" applyNumberFormat="1" applyFont="1"/>
    <xf numFmtId="3" fontId="0" fillId="0" borderId="0" xfId="0" applyNumberFormat="1"/>
    <xf numFmtId="164" fontId="4" fillId="0" borderId="3" xfId="2" applyNumberFormat="1" applyFont="1" applyBorder="1" applyAlignment="1">
      <alignment vertical="top" wrapText="1"/>
    </xf>
    <xf numFmtId="10" fontId="23" fillId="6" borderId="13" xfId="0" applyNumberFormat="1" applyFont="1" applyFill="1" applyBorder="1" applyAlignment="1">
      <alignment horizontal="right" vertical="center" wrapText="1"/>
    </xf>
    <xf numFmtId="10" fontId="17" fillId="0" borderId="13" xfId="0" applyNumberFormat="1" applyFont="1" applyBorder="1" applyAlignment="1">
      <alignment horizontal="right" vertical="center" wrapText="1"/>
    </xf>
    <xf numFmtId="10" fontId="12" fillId="0" borderId="13" xfId="0" applyNumberFormat="1" applyFont="1" applyBorder="1" applyAlignment="1">
      <alignment horizontal="right" vertical="center" wrapText="1"/>
    </xf>
    <xf numFmtId="0" fontId="17" fillId="0" borderId="13" xfId="0" quotePrefix="1" applyFont="1" applyBorder="1" applyAlignment="1">
      <alignment horizontal="right" vertical="center" wrapText="1"/>
    </xf>
    <xf numFmtId="0" fontId="12" fillId="0" borderId="13" xfId="0" quotePrefix="1" applyFont="1" applyBorder="1" applyAlignment="1">
      <alignment horizontal="right" vertical="center" wrapText="1"/>
    </xf>
    <xf numFmtId="10" fontId="24" fillId="6" borderId="13" xfId="0" applyNumberFormat="1" applyFont="1" applyFill="1" applyBorder="1" applyAlignment="1">
      <alignment horizontal="right" vertical="center" wrapText="1"/>
    </xf>
    <xf numFmtId="10" fontId="21" fillId="0" borderId="0" xfId="0" applyNumberFormat="1" applyFont="1"/>
    <xf numFmtId="3" fontId="26" fillId="0" borderId="0" xfId="0" applyNumberFormat="1" applyFont="1"/>
    <xf numFmtId="0" fontId="29" fillId="0" borderId="0" xfId="0" applyFont="1" applyAlignment="1">
      <alignment vertical="center" wrapText="1"/>
    </xf>
    <xf numFmtId="0" fontId="30" fillId="0" borderId="0" xfId="0" applyFont="1"/>
    <xf numFmtId="0" fontId="31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center" vertical="center" wrapText="1"/>
    </xf>
    <xf numFmtId="0" fontId="21" fillId="6" borderId="15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 indent="2"/>
    </xf>
    <xf numFmtId="0" fontId="21" fillId="5" borderId="15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 indent="2"/>
    </xf>
    <xf numFmtId="0" fontId="29" fillId="5" borderId="0" xfId="0" applyFont="1" applyFill="1" applyAlignment="1">
      <alignment vertical="center" wrapText="1"/>
    </xf>
    <xf numFmtId="164" fontId="26" fillId="0" borderId="0" xfId="2" applyNumberFormat="1" applyFont="1" applyAlignment="1">
      <alignment horizontal="right" vertical="center" wrapText="1"/>
    </xf>
    <xf numFmtId="0" fontId="27" fillId="5" borderId="15" xfId="0" applyFont="1" applyFill="1" applyBorder="1" applyAlignment="1">
      <alignment horizontal="left" vertical="center" wrapText="1"/>
    </xf>
    <xf numFmtId="0" fontId="29" fillId="5" borderId="15" xfId="0" applyFont="1" applyFill="1" applyBorder="1" applyAlignment="1">
      <alignment vertical="center" wrapText="1"/>
    </xf>
    <xf numFmtId="3" fontId="21" fillId="0" borderId="0" xfId="0" applyNumberFormat="1" applyFont="1"/>
    <xf numFmtId="0" fontId="33" fillId="8" borderId="0" xfId="0" applyFont="1" applyFill="1" applyAlignment="1">
      <alignment horizontal="left" vertical="center" wrapText="1" indent="2"/>
    </xf>
    <xf numFmtId="0" fontId="21" fillId="2" borderId="0" xfId="0" applyFont="1" applyFill="1"/>
    <xf numFmtId="164" fontId="26" fillId="2" borderId="0" xfId="4" applyNumberFormat="1" applyFont="1" applyFill="1" applyAlignment="1" applyProtection="1">
      <alignment horizontal="right" vertical="center" wrapText="1"/>
      <protection locked="0"/>
    </xf>
    <xf numFmtId="0" fontId="21" fillId="0" borderId="0" xfId="0" applyFont="1" applyAlignment="1">
      <alignment horizontal="left" vertical="center" wrapText="1" indent="2"/>
    </xf>
    <xf numFmtId="0" fontId="26" fillId="0" borderId="0" xfId="0" applyFont="1"/>
    <xf numFmtId="164" fontId="26" fillId="0" borderId="0" xfId="4" applyNumberFormat="1" applyFont="1" applyAlignment="1" applyProtection="1">
      <alignment horizontal="right" vertical="center" wrapText="1"/>
      <protection locked="0"/>
    </xf>
    <xf numFmtId="164" fontId="27" fillId="6" borderId="15" xfId="0" applyNumberFormat="1" applyFont="1" applyFill="1" applyBorder="1" applyAlignment="1">
      <alignment horizontal="right" vertical="center" wrapText="1"/>
    </xf>
    <xf numFmtId="164" fontId="27" fillId="0" borderId="15" xfId="0" applyNumberFormat="1" applyFont="1" applyBorder="1" applyAlignment="1">
      <alignment horizontal="right" vertical="center" wrapText="1"/>
    </xf>
    <xf numFmtId="164" fontId="28" fillId="5" borderId="15" xfId="0" applyNumberFormat="1" applyFont="1" applyFill="1" applyBorder="1" applyAlignment="1">
      <alignment horizontal="right" vertical="center" wrapText="1"/>
    </xf>
    <xf numFmtId="164" fontId="28" fillId="0" borderId="15" xfId="0" applyNumberFormat="1" applyFont="1" applyBorder="1" applyAlignment="1">
      <alignment horizontal="right" vertical="center" wrapText="1"/>
    </xf>
    <xf numFmtId="164" fontId="29" fillId="5" borderId="0" xfId="0" applyNumberFormat="1" applyFont="1" applyFill="1" applyAlignment="1">
      <alignment horizontal="right" vertical="center" wrapText="1"/>
    </xf>
    <xf numFmtId="164" fontId="29" fillId="0" borderId="0" xfId="0" applyNumberFormat="1" applyFont="1" applyAlignment="1">
      <alignment horizontal="right" vertical="center" wrapText="1"/>
    </xf>
    <xf numFmtId="164" fontId="21" fillId="0" borderId="0" xfId="0" applyNumberFormat="1" applyFont="1"/>
    <xf numFmtId="164" fontId="27" fillId="5" borderId="15" xfId="0" applyNumberFormat="1" applyFont="1" applyFill="1" applyBorder="1" applyAlignment="1">
      <alignment horizontal="right" vertical="center" wrapText="1"/>
    </xf>
    <xf numFmtId="164" fontId="29" fillId="5" borderId="15" xfId="0" applyNumberFormat="1" applyFont="1" applyFill="1" applyBorder="1" applyAlignment="1">
      <alignment horizontal="right" vertical="center" wrapText="1"/>
    </xf>
    <xf numFmtId="164" fontId="31" fillId="4" borderId="0" xfId="0" applyNumberFormat="1" applyFont="1" applyFill="1" applyAlignment="1">
      <alignment horizontal="center" vertical="center" wrapText="1"/>
    </xf>
    <xf numFmtId="164" fontId="27" fillId="0" borderId="0" xfId="0" applyNumberFormat="1" applyFont="1" applyAlignment="1">
      <alignment horizontal="right" vertical="center" wrapText="1"/>
    </xf>
    <xf numFmtId="164" fontId="27" fillId="5" borderId="15" xfId="0" applyNumberFormat="1" applyFont="1" applyFill="1" applyBorder="1" applyAlignment="1">
      <alignment horizontal="left" vertical="center" wrapText="1"/>
    </xf>
    <xf numFmtId="164" fontId="27" fillId="9" borderId="15" xfId="0" applyNumberFormat="1" applyFont="1" applyFill="1" applyBorder="1" applyAlignment="1">
      <alignment horizontal="right" vertical="center" wrapText="1"/>
    </xf>
    <xf numFmtId="164" fontId="29" fillId="9" borderId="0" xfId="0" applyNumberFormat="1" applyFont="1" applyFill="1" applyAlignment="1">
      <alignment horizontal="right" vertical="center" wrapText="1"/>
    </xf>
    <xf numFmtId="164" fontId="27" fillId="9" borderId="15" xfId="0" applyNumberFormat="1" applyFont="1" applyFill="1" applyBorder="1" applyAlignment="1">
      <alignment horizontal="left" vertical="center" wrapText="1"/>
    </xf>
    <xf numFmtId="169" fontId="12" fillId="0" borderId="0" xfId="5" applyNumberFormat="1" applyFont="1"/>
    <xf numFmtId="0" fontId="23" fillId="0" borderId="0" xfId="0" applyFont="1" applyAlignment="1">
      <alignment horizontal="center"/>
    </xf>
    <xf numFmtId="164" fontId="3" fillId="0" borderId="0" xfId="2" applyNumberFormat="1" applyFont="1" applyAlignment="1">
      <alignment horizontal="right" vertical="center" wrapText="1"/>
    </xf>
    <xf numFmtId="164" fontId="5" fillId="0" borderId="0" xfId="2" applyNumberFormat="1" applyFont="1" applyAlignment="1">
      <alignment horizontal="right" vertical="top" wrapText="1"/>
    </xf>
    <xf numFmtId="164" fontId="6" fillId="0" borderId="16" xfId="2" applyNumberFormat="1" applyFont="1" applyBorder="1" applyAlignment="1">
      <alignment horizontal="right" vertical="center" wrapText="1"/>
    </xf>
    <xf numFmtId="164" fontId="3" fillId="10" borderId="2" xfId="2" applyNumberFormat="1" applyFont="1" applyFill="1" applyBorder="1" applyAlignment="1">
      <alignment horizontal="right" vertical="top" wrapText="1"/>
    </xf>
    <xf numFmtId="164" fontId="5" fillId="10" borderId="3" xfId="2" applyNumberFormat="1" applyFont="1" applyFill="1" applyBorder="1" applyAlignment="1">
      <alignment horizontal="right" vertical="top" wrapText="1"/>
    </xf>
    <xf numFmtId="164" fontId="17" fillId="10" borderId="12" xfId="0" applyNumberFormat="1" applyFont="1" applyFill="1" applyBorder="1" applyAlignment="1">
      <alignment horizontal="right" vertical="center"/>
    </xf>
    <xf numFmtId="164" fontId="4" fillId="0" borderId="0" xfId="2" applyNumberFormat="1" applyFont="1" applyAlignment="1">
      <alignment vertical="top" wrapText="1"/>
    </xf>
    <xf numFmtId="164" fontId="3" fillId="10" borderId="0" xfId="2" applyNumberFormat="1" applyFont="1" applyFill="1" applyAlignment="1">
      <alignment horizontal="right" vertical="center" wrapText="1"/>
    </xf>
    <xf numFmtId="164" fontId="3" fillId="10" borderId="0" xfId="2" applyNumberFormat="1" applyFont="1" applyFill="1" applyAlignment="1">
      <alignment horizontal="right" vertical="top" wrapText="1"/>
    </xf>
    <xf numFmtId="169" fontId="21" fillId="0" borderId="0" xfId="5" applyNumberFormat="1" applyFont="1"/>
    <xf numFmtId="0" fontId="9" fillId="0" borderId="0" xfId="1" applyFont="1" applyAlignment="1">
      <alignment vertical="top"/>
    </xf>
    <xf numFmtId="0" fontId="38" fillId="0" borderId="0" xfId="1" applyFont="1" applyAlignment="1">
      <alignment vertical="top"/>
    </xf>
    <xf numFmtId="0" fontId="39" fillId="4" borderId="14" xfId="68" applyFont="1" applyFill="1" applyBorder="1" applyAlignment="1">
      <alignment horizontal="left" vertical="center" wrapText="1"/>
    </xf>
    <xf numFmtId="0" fontId="13" fillId="4" borderId="14" xfId="68" applyFont="1" applyFill="1" applyBorder="1" applyAlignment="1">
      <alignment horizontal="center" vertical="center" wrapText="1"/>
    </xf>
    <xf numFmtId="164" fontId="6" fillId="0" borderId="14" xfId="69" applyNumberFormat="1" applyFont="1" applyBorder="1" applyAlignment="1">
      <alignment horizontal="right" vertical="center" wrapText="1"/>
    </xf>
    <xf numFmtId="164" fontId="6" fillId="0" borderId="0" xfId="69" applyNumberFormat="1" applyFont="1" applyAlignment="1">
      <alignment horizontal="right" vertical="center" wrapText="1"/>
    </xf>
    <xf numFmtId="164" fontId="3" fillId="5" borderId="14" xfId="69" applyNumberFormat="1" applyFont="1" applyFill="1" applyBorder="1" applyAlignment="1">
      <alignment horizontal="right" vertical="center" wrapText="1"/>
    </xf>
    <xf numFmtId="164" fontId="3" fillId="5" borderId="0" xfId="69" applyNumberFormat="1" applyFont="1" applyFill="1" applyAlignment="1">
      <alignment horizontal="right" vertical="center" wrapText="1"/>
    </xf>
    <xf numFmtId="164" fontId="6" fillId="11" borderId="14" xfId="69" applyNumberFormat="1" applyFont="1" applyFill="1" applyBorder="1" applyAlignment="1">
      <alignment horizontal="right" vertical="center" wrapText="1"/>
    </xf>
    <xf numFmtId="164" fontId="3" fillId="0" borderId="14" xfId="69" applyNumberFormat="1" applyFont="1" applyBorder="1" applyAlignment="1">
      <alignment horizontal="right" vertical="center" wrapText="1"/>
    </xf>
    <xf numFmtId="164" fontId="3" fillId="0" borderId="0" xfId="69" applyNumberFormat="1" applyFont="1" applyAlignment="1">
      <alignment horizontal="right" vertical="center" wrapText="1"/>
    </xf>
    <xf numFmtId="164" fontId="6" fillId="5" borderId="14" xfId="69" applyNumberFormat="1" applyFont="1" applyFill="1" applyBorder="1" applyAlignment="1">
      <alignment horizontal="right" vertical="center" wrapText="1"/>
    </xf>
    <xf numFmtId="164" fontId="6" fillId="5" borderId="0" xfId="69" applyNumberFormat="1" applyFont="1" applyFill="1" applyAlignment="1">
      <alignment horizontal="right" vertical="center" wrapText="1"/>
    </xf>
    <xf numFmtId="164" fontId="3" fillId="8" borderId="14" xfId="69" applyNumberFormat="1" applyFont="1" applyFill="1" applyBorder="1" applyAlignment="1">
      <alignment horizontal="right" vertical="center" wrapText="1"/>
    </xf>
    <xf numFmtId="164" fontId="3" fillId="8" borderId="0" xfId="69" applyNumberFormat="1" applyFont="1" applyFill="1" applyAlignment="1">
      <alignment horizontal="right" vertical="center" wrapText="1"/>
    </xf>
    <xf numFmtId="164" fontId="5" fillId="5" borderId="14" xfId="69" applyNumberFormat="1" applyFont="1" applyFill="1" applyBorder="1" applyAlignment="1">
      <alignment horizontal="right" vertical="center" wrapText="1"/>
    </xf>
    <xf numFmtId="164" fontId="5" fillId="5" borderId="0" xfId="69" applyNumberFormat="1" applyFont="1" applyFill="1" applyAlignment="1">
      <alignment horizontal="right" vertical="center" wrapText="1"/>
    </xf>
    <xf numFmtId="164" fontId="4" fillId="11" borderId="14" xfId="69" applyNumberFormat="1" applyFont="1" applyFill="1" applyBorder="1" applyAlignment="1">
      <alignment horizontal="right" vertical="center" wrapText="1"/>
    </xf>
    <xf numFmtId="0" fontId="1" fillId="0" borderId="0" xfId="68" applyAlignment="1"/>
    <xf numFmtId="0" fontId="5" fillId="0" borderId="0" xfId="69" applyFont="1" applyAlignment="1">
      <alignment horizontal="left" vertical="center" wrapText="1"/>
    </xf>
    <xf numFmtId="164" fontId="5" fillId="0" borderId="0" xfId="69" applyNumberFormat="1" applyFont="1" applyAlignment="1">
      <alignment horizontal="left" vertical="center" wrapText="1"/>
    </xf>
    <xf numFmtId="0" fontId="41" fillId="0" borderId="0" xfId="68" applyFont="1" applyAlignment="1"/>
    <xf numFmtId="164" fontId="40" fillId="0" borderId="0" xfId="69" applyNumberFormat="1" applyFont="1" applyAlignment="1">
      <alignment horizontal="left" vertical="center" wrapText="1"/>
    </xf>
    <xf numFmtId="0" fontId="12" fillId="0" borderId="0" xfId="68" applyFont="1" applyAlignment="1"/>
    <xf numFmtId="164" fontId="1" fillId="0" borderId="0" xfId="68" applyNumberFormat="1" applyAlignment="1"/>
    <xf numFmtId="164" fontId="21" fillId="0" borderId="0" xfId="68" applyNumberFormat="1" applyFont="1" applyAlignment="1"/>
    <xf numFmtId="164" fontId="12" fillId="0" borderId="0" xfId="68" applyNumberFormat="1" applyFont="1" applyAlignment="1">
      <alignment horizontal="right" vertical="center"/>
    </xf>
    <xf numFmtId="164" fontId="5" fillId="0" borderId="14" xfId="69" applyNumberFormat="1" applyFont="1" applyBorder="1" applyAlignment="1">
      <alignment horizontal="right" vertical="center" wrapText="1"/>
    </xf>
    <xf numFmtId="164" fontId="5" fillId="0" borderId="0" xfId="69" applyNumberFormat="1" applyFont="1" applyAlignment="1">
      <alignment horizontal="right" vertical="center" wrapText="1"/>
    </xf>
    <xf numFmtId="0" fontId="18" fillId="0" borderId="12" xfId="68" applyFont="1" applyBorder="1" applyAlignment="1">
      <alignment horizontal="right" vertical="center" wrapText="1"/>
    </xf>
    <xf numFmtId="164" fontId="6" fillId="0" borderId="0" xfId="2" applyNumberFormat="1" applyFont="1" applyAlignment="1">
      <alignment horizontal="left" vertical="top" indent="2"/>
    </xf>
    <xf numFmtId="0" fontId="17" fillId="0" borderId="17" xfId="0" applyFont="1" applyBorder="1" applyAlignment="1">
      <alignment horizontal="left" vertical="center" wrapText="1"/>
    </xf>
    <xf numFmtId="0" fontId="17" fillId="5" borderId="17" xfId="0" applyFont="1" applyFill="1" applyBorder="1" applyAlignment="1">
      <alignment horizontal="left" vertical="center" wrapText="1"/>
    </xf>
    <xf numFmtId="0" fontId="18" fillId="5" borderId="17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/>
    <xf numFmtId="0" fontId="6" fillId="5" borderId="17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164" fontId="6" fillId="0" borderId="17" xfId="0" applyNumberFormat="1" applyFont="1" applyBorder="1" applyAlignment="1">
      <alignment horizontal="right" vertical="center" wrapText="1"/>
    </xf>
    <xf numFmtId="164" fontId="15" fillId="0" borderId="17" xfId="0" applyNumberFormat="1" applyFont="1" applyBorder="1" applyAlignment="1">
      <alignment horizontal="right" vertical="center" wrapText="1"/>
    </xf>
    <xf numFmtId="164" fontId="17" fillId="5" borderId="17" xfId="0" applyNumberFormat="1" applyFont="1" applyFill="1" applyBorder="1" applyAlignment="1">
      <alignment horizontal="right" vertical="center" wrapText="1"/>
    </xf>
    <xf numFmtId="164" fontId="6" fillId="5" borderId="17" xfId="0" applyNumberFormat="1" applyFont="1" applyFill="1" applyBorder="1" applyAlignment="1">
      <alignment horizontal="right" vertical="center" wrapText="1"/>
    </xf>
    <xf numFmtId="164" fontId="43" fillId="0" borderId="17" xfId="0" applyNumberFormat="1" applyFont="1" applyBorder="1" applyAlignment="1">
      <alignment horizontal="right" vertical="center" wrapText="1"/>
    </xf>
    <xf numFmtId="164" fontId="44" fillId="0" borderId="17" xfId="0" applyNumberFormat="1" applyFont="1" applyBorder="1" applyAlignment="1">
      <alignment horizontal="right" vertical="center" wrapText="1"/>
    </xf>
    <xf numFmtId="164" fontId="15" fillId="5" borderId="17" xfId="0" applyNumberFormat="1" applyFont="1" applyFill="1" applyBorder="1" applyAlignment="1">
      <alignment horizontal="right" vertical="center" wrapText="1"/>
    </xf>
    <xf numFmtId="164" fontId="18" fillId="6" borderId="17" xfId="0" applyNumberFormat="1" applyFont="1" applyFill="1" applyBorder="1" applyAlignment="1">
      <alignment horizontal="right" vertical="center" wrapText="1"/>
    </xf>
    <xf numFmtId="164" fontId="4" fillId="6" borderId="17" xfId="0" applyNumberFormat="1" applyFont="1" applyFill="1" applyBorder="1" applyAlignment="1">
      <alignment horizontal="right" vertical="center" wrapText="1"/>
    </xf>
    <xf numFmtId="0" fontId="12" fillId="0" borderId="12" xfId="68" applyFont="1" applyBorder="1" applyAlignment="1">
      <alignment horizontal="left" vertical="center"/>
    </xf>
    <xf numFmtId="0" fontId="17" fillId="5" borderId="12" xfId="68" applyFont="1" applyFill="1" applyBorder="1" applyAlignment="1">
      <alignment horizontal="left" vertical="center"/>
    </xf>
    <xf numFmtId="0" fontId="17" fillId="0" borderId="12" xfId="68" applyFont="1" applyBorder="1" applyAlignment="1">
      <alignment horizontal="left" vertical="center"/>
    </xf>
    <xf numFmtId="0" fontId="12" fillId="5" borderId="12" xfId="68" applyFont="1" applyFill="1" applyBorder="1" applyAlignment="1">
      <alignment horizontal="left" vertical="center"/>
    </xf>
    <xf numFmtId="0" fontId="18" fillId="5" borderId="12" xfId="68" applyFont="1" applyFill="1" applyBorder="1" applyAlignment="1">
      <alignment horizontal="left" vertical="center"/>
    </xf>
    <xf numFmtId="0" fontId="6" fillId="0" borderId="0" xfId="1" applyFont="1" applyAlignment="1">
      <alignment vertical="top"/>
    </xf>
    <xf numFmtId="0" fontId="17" fillId="0" borderId="0" xfId="68" applyFont="1" applyAlignment="1">
      <alignment horizontal="left" vertical="center"/>
    </xf>
    <xf numFmtId="0" fontId="12" fillId="5" borderId="14" xfId="68" applyFont="1" applyFill="1" applyBorder="1" applyAlignment="1">
      <alignment horizontal="left" vertical="center"/>
    </xf>
    <xf numFmtId="164" fontId="18" fillId="0" borderId="12" xfId="68" applyNumberFormat="1" applyFont="1" applyBorder="1" applyAlignment="1">
      <alignment horizontal="right" vertical="center" wrapText="1"/>
    </xf>
    <xf numFmtId="0" fontId="12" fillId="0" borderId="0" xfId="68" applyFont="1">
      <alignment vertical="center"/>
    </xf>
    <xf numFmtId="164" fontId="12" fillId="0" borderId="0" xfId="68" applyNumberFormat="1" applyFont="1">
      <alignment vertical="center"/>
    </xf>
    <xf numFmtId="0" fontId="12" fillId="0" borderId="0" xfId="68" applyFont="1" applyAlignment="1">
      <alignment horizontal="justify" vertical="center"/>
    </xf>
    <xf numFmtId="3" fontId="6" fillId="0" borderId="0" xfId="1" applyNumberFormat="1" applyFont="1" applyAlignment="1">
      <alignment vertical="top"/>
    </xf>
    <xf numFmtId="3" fontId="9" fillId="0" borderId="0" xfId="1" applyNumberFormat="1" applyFont="1" applyAlignment="1">
      <alignment vertical="top"/>
    </xf>
    <xf numFmtId="0" fontId="27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right" vertical="center" wrapText="1"/>
    </xf>
    <xf numFmtId="3" fontId="29" fillId="0" borderId="0" xfId="0" applyNumberFormat="1" applyFont="1" applyAlignment="1">
      <alignment horizontal="right" vertical="center" wrapText="1"/>
    </xf>
    <xf numFmtId="0" fontId="45" fillId="0" borderId="0" xfId="0" applyFont="1" applyAlignment="1">
      <alignment horizontal="center" vertical="center" wrapText="1"/>
    </xf>
    <xf numFmtId="3" fontId="21" fillId="0" borderId="0" xfId="0" applyNumberFormat="1" applyFont="1" applyAlignment="1">
      <alignment horizontal="right" vertical="center" wrapText="1"/>
    </xf>
    <xf numFmtId="3" fontId="28" fillId="0" borderId="0" xfId="0" applyNumberFormat="1" applyFont="1" applyAlignment="1">
      <alignment horizontal="right" vertical="center" wrapText="1"/>
    </xf>
    <xf numFmtId="3" fontId="27" fillId="0" borderId="0" xfId="0" applyNumberFormat="1" applyFont="1" applyAlignment="1">
      <alignment horizontal="right" vertical="center" wrapText="1"/>
    </xf>
    <xf numFmtId="9" fontId="11" fillId="0" borderId="0" xfId="5" applyFont="1"/>
    <xf numFmtId="169" fontId="0" fillId="0" borderId="0" xfId="5" applyNumberFormat="1" applyFont="1"/>
    <xf numFmtId="0" fontId="12" fillId="0" borderId="0" xfId="0" applyFont="1" applyAlignment="1">
      <alignment horizontal="right" vertical="center" wrapText="1"/>
    </xf>
    <xf numFmtId="3" fontId="17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horizontal="right" vertical="center" wrapText="1"/>
    </xf>
    <xf numFmtId="164" fontId="6" fillId="0" borderId="0" xfId="0" applyNumberFormat="1" applyFont="1"/>
    <xf numFmtId="164" fontId="6" fillId="2" borderId="18" xfId="2" applyNumberFormat="1" applyFont="1" applyFill="1" applyBorder="1" applyAlignment="1">
      <alignment vertical="top" wrapText="1"/>
    </xf>
    <xf numFmtId="164" fontId="4" fillId="2" borderId="18" xfId="2" applyNumberFormat="1" applyFont="1" applyFill="1" applyBorder="1" applyAlignment="1">
      <alignment vertical="top" wrapText="1"/>
    </xf>
    <xf numFmtId="0" fontId="27" fillId="0" borderId="0" xfId="0" applyFont="1" applyAlignment="1">
      <alignment vertical="center" wrapText="1"/>
    </xf>
    <xf numFmtId="164" fontId="6" fillId="0" borderId="19" xfId="2" applyNumberFormat="1" applyFont="1" applyBorder="1" applyAlignment="1">
      <alignment vertical="top" wrapText="1"/>
    </xf>
    <xf numFmtId="164" fontId="4" fillId="0" borderId="19" xfId="2" applyNumberFormat="1" applyFont="1" applyBorder="1" applyAlignment="1">
      <alignment vertical="top" wrapText="1"/>
    </xf>
    <xf numFmtId="0" fontId="19" fillId="0" borderId="0" xfId="0" applyFont="1"/>
    <xf numFmtId="0" fontId="19" fillId="10" borderId="0" xfId="0" applyFont="1" applyFill="1"/>
    <xf numFmtId="164" fontId="6" fillId="12" borderId="17" xfId="0" applyNumberFormat="1" applyFont="1" applyFill="1" applyBorder="1" applyAlignment="1">
      <alignment horizontal="right" vertical="center" wrapText="1"/>
    </xf>
    <xf numFmtId="164" fontId="4" fillId="12" borderId="17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Fill="1"/>
  </cellXfs>
  <cellStyles count="72">
    <cellStyle name="˙˙˙" xfId="1" xr:uid="{00000000-0005-0000-0000-000000000000}"/>
    <cellStyle name="Comma 2" xfId="21" xr:uid="{198B5599-1932-4920-B652-016F0F8620AD}"/>
    <cellStyle name="Comma 2 2" xfId="51" xr:uid="{3DC6C45D-59CF-4D20-899C-09165DE867F0}"/>
    <cellStyle name="Comma 3" xfId="40" xr:uid="{DBDDFF32-3B47-4285-AD1E-20B9702C9234}"/>
    <cellStyle name="Dziesiętny 2" xfId="7" xr:uid="{465D580A-8025-4F01-AA46-F48E5C750FAF}"/>
    <cellStyle name="gs]_x000d__x000a_Window=0,0,640,480, , ,3_x000d__x000a_dir1=5,7,637,250,-1,-1,1,30,201,1905,231,G:\UGRC\RB\B-DADOS\FOX-PRO\CRED-VEN\KP" xfId="2" xr:uid="{00000000-0005-0000-0000-000001000000}"/>
    <cellStyle name="gs]_x000d__x000a_Window=0,0,640,480, , ,3_x000d__x000a_dir1=5,7,637,250,-1,-1,1,30,201,1905,231,G:\UGRC\RB\B-DADOS\FOX-PRO\CRED-VEN\KP 2 2" xfId="70" xr:uid="{F5F151A3-8CA7-450A-9967-59D0545D18B2}"/>
    <cellStyle name="Normal 10" xfId="20" xr:uid="{E5297402-0135-4068-B5EE-E51CB4268369}"/>
    <cellStyle name="Normal 11" xfId="19" xr:uid="{B955FD45-780C-4F78-B698-E2C0A3029E23}"/>
    <cellStyle name="Normal 11 2" xfId="50" xr:uid="{32A62CF3-ED91-45C4-BDB3-4CB00AF78C10}"/>
    <cellStyle name="Normal 12" xfId="31" xr:uid="{27D6D0A4-1D7B-4A86-A3A5-8A96FF5C457E}"/>
    <cellStyle name="Normal 12 2" xfId="60" xr:uid="{EC0A1721-636E-4CA6-83C0-18F66DD75C7C}"/>
    <cellStyle name="Normal 13" xfId="32" xr:uid="{F801B86B-C554-4C17-B84D-582930FE791B}"/>
    <cellStyle name="Normal 13 2" xfId="61" xr:uid="{B86ECD11-C1BF-4797-8B28-11A2B902B42D}"/>
    <cellStyle name="Normal 14" xfId="33" xr:uid="{C0743E5F-5FB1-486C-924B-103C8163DE82}"/>
    <cellStyle name="Normal 14 2" xfId="62" xr:uid="{9230EA85-A5C8-4602-B613-070E8EDB27C7}"/>
    <cellStyle name="Normal 15" xfId="34" xr:uid="{8F1481DC-BEA5-44C7-B145-2CDF77BF7EEB}"/>
    <cellStyle name="Normal 15 2" xfId="63" xr:uid="{3D99991D-4801-4899-9EEA-70D7F2165158}"/>
    <cellStyle name="Normal 16" xfId="35" xr:uid="{46FDE2C7-B599-4F22-AD36-606FCCBBB4B0}"/>
    <cellStyle name="Normal 16 2" xfId="64" xr:uid="{B277C814-F84D-48DC-B701-EB4F567BD037}"/>
    <cellStyle name="Normal 17" xfId="36" xr:uid="{A7FAEFA0-9A0F-4770-8225-035F5A6CF82B}"/>
    <cellStyle name="Normal 17 2" xfId="65" xr:uid="{DA09C463-A242-4271-AE58-28A4A7BA534F}"/>
    <cellStyle name="Normal 18" xfId="37" xr:uid="{00BAAF1E-8F40-4208-B90A-8DE14E4BA5CC}"/>
    <cellStyle name="Normal 18 2" xfId="66" xr:uid="{0FF2CDE2-A8F7-4C80-BBFC-E32BBBE6055E}"/>
    <cellStyle name="Normal 19" xfId="38" xr:uid="{17FD903E-B678-4EC6-A96A-CFA8F81B1E29}"/>
    <cellStyle name="Normal 2" xfId="11" xr:uid="{456D94DE-EC70-4ACC-B4BB-46124DC9F281}"/>
    <cellStyle name="Normal 2 2" xfId="23" xr:uid="{31DE1EE3-DA86-4EEA-9E44-06B12EC82D70}"/>
    <cellStyle name="Normal 2 2 2" xfId="52" xr:uid="{5DA090E4-FD09-4910-A27C-ED5099F7CFCF}"/>
    <cellStyle name="Normal 2 3" xfId="42" xr:uid="{0D3A3E8E-53BC-4D26-96C6-7CAB687A9F2D}"/>
    <cellStyle name="Normal 20" xfId="39" xr:uid="{36E682DE-61DF-4DD1-9723-9B0E584CFDF9}"/>
    <cellStyle name="Normal 21" xfId="67" xr:uid="{7765DBD5-4C1B-4FE1-BE88-FF838AFE8B0B}"/>
    <cellStyle name="Normal 3" xfId="12" xr:uid="{932A68B1-45A4-4635-ACEA-A5D51CD2743B}"/>
    <cellStyle name="Normal 3 2" xfId="24" xr:uid="{EA08C1B0-EE9B-49A0-9BAC-E737923F7C49}"/>
    <cellStyle name="Normal 3 2 2" xfId="53" xr:uid="{BC6E0282-83A5-4A7E-96CA-C991A89C0612}"/>
    <cellStyle name="Normal 3 3" xfId="43" xr:uid="{35C24FF0-F411-48D6-A1BF-C96BF4F5FF69}"/>
    <cellStyle name="Normal 4" xfId="13" xr:uid="{084A01E2-DE6B-4EC3-982E-7DDBE6777988}"/>
    <cellStyle name="Normal 4 2" xfId="25" xr:uid="{6E92C8D8-D224-4A11-BD79-05D2EC4E61A1}"/>
    <cellStyle name="Normal 4 2 2" xfId="54" xr:uid="{F977842C-10F9-470F-98D8-F199FC365B9A}"/>
    <cellStyle name="Normal 4 3" xfId="44" xr:uid="{254AC973-B82D-464F-A259-DBD193A0F716}"/>
    <cellStyle name="Normal 5" xfId="14" xr:uid="{B6BCAE98-7D82-49E0-80CB-297147A78A77}"/>
    <cellStyle name="Normal 5 2" xfId="26" xr:uid="{9588A9BE-0385-45D3-96BB-69269DC147D2}"/>
    <cellStyle name="Normal 5 2 2" xfId="55" xr:uid="{068DCABE-7397-4D0A-A0B4-3C7AEA900166}"/>
    <cellStyle name="Normal 5 3" xfId="45" xr:uid="{F8D28A3C-6ED4-46DF-9429-12F18684BF77}"/>
    <cellStyle name="Normal 6" xfId="15" xr:uid="{D09A578D-3158-4D2C-A0EB-2AE063EC85C3}"/>
    <cellStyle name="Normal 6 2" xfId="27" xr:uid="{80BFE367-61AC-438F-AB75-C000458095CD}"/>
    <cellStyle name="Normal 6 2 2" xfId="56" xr:uid="{80F63286-19C8-4868-8C1B-0001175B5DE7}"/>
    <cellStyle name="Normal 6 3" xfId="46" xr:uid="{C3C8F15B-ABC5-44A5-A1D7-01DCAFF5BB77}"/>
    <cellStyle name="Normal 7" xfId="16" xr:uid="{2D1869D6-86C9-4AC4-9F2F-BE1C169FE4B2}"/>
    <cellStyle name="Normal 7 2" xfId="28" xr:uid="{68284D7E-2F07-43AB-811D-5C4D778C0709}"/>
    <cellStyle name="Normal 7 2 2" xfId="57" xr:uid="{B7235A3D-0AB9-4BD2-956B-53EA3547F12F}"/>
    <cellStyle name="Normal 7 3" xfId="47" xr:uid="{260C553B-06A6-4165-B9FE-136A995CC635}"/>
    <cellStyle name="Normal 8" xfId="17" xr:uid="{E6F7043A-683D-4A90-8C5D-6F775993CA13}"/>
    <cellStyle name="Normal 8 2" xfId="29" xr:uid="{BB7A66AF-B9A8-42B5-9774-A0200492D375}"/>
    <cellStyle name="Normal 8 2 2" xfId="58" xr:uid="{D0994061-712D-4521-9273-680CFCFEDEE5}"/>
    <cellStyle name="Normal 8 3" xfId="48" xr:uid="{5B10216F-7D5B-4E9D-B586-9CEDC3E46597}"/>
    <cellStyle name="Normal 9" xfId="18" xr:uid="{2A7C2CE6-E5F8-4E73-8544-021012B0ED2D}"/>
    <cellStyle name="Normal 9 2" xfId="30" xr:uid="{1AF48D59-2566-42F9-9567-AF33C6C1C95B}"/>
    <cellStyle name="Normal 9 2 2" xfId="59" xr:uid="{C650735C-739C-4A75-9F47-4A441C208A45}"/>
    <cellStyle name="Normal 9 3" xfId="49" xr:uid="{2F4265F1-76AD-4990-B5EC-D569C650D7A1}"/>
    <cellStyle name="Normalny" xfId="0" builtinId="0"/>
    <cellStyle name="Normalny 2" xfId="3" xr:uid="{00000000-0005-0000-0000-000003000000}"/>
    <cellStyle name="Normalny 2 2" xfId="9" xr:uid="{9202D273-9ED0-4337-A622-8EF411C57A5C}"/>
    <cellStyle name="Normalny 2 3" xfId="69" xr:uid="{24C2B657-B43B-4925-BD0D-91A2EC15E5E4}"/>
    <cellStyle name="Normalny 3" xfId="6" xr:uid="{2FB58018-6BE2-4C37-B6C4-CD74480D07D9}"/>
    <cellStyle name="Normalny 4" xfId="10" xr:uid="{34561718-8EF0-46C0-9980-F2BF1B076A62}"/>
    <cellStyle name="Normalny 5" xfId="68" xr:uid="{BCF9CB9F-B952-412C-AD4C-28180B119428}"/>
    <cellStyle name="Normalny_SFB_26_09" xfId="4" xr:uid="{00000000-0005-0000-0000-000004000000}"/>
    <cellStyle name="Percent 2" xfId="22" xr:uid="{414F87EA-5941-4FD2-9B00-40E7B8A82033}"/>
    <cellStyle name="Percent 3" xfId="41" xr:uid="{AA109EA3-79DE-40FC-9DE2-E29780A1B05B}"/>
    <cellStyle name="Procentowy" xfId="5" builtinId="5"/>
    <cellStyle name="Procentowy 2" xfId="8" xr:uid="{49016497-8F08-424B-8844-486D11D0B2EF}"/>
    <cellStyle name="Procentowy 3" xfId="71" xr:uid="{AA461FF9-4517-449C-816C-578B826482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1"/>
  <sheetViews>
    <sheetView tabSelected="1" zoomScale="80" zoomScaleNormal="80" workbookViewId="0">
      <pane xSplit="2" ySplit="3" topLeftCell="AE4" activePane="bottomRight" state="frozenSplit"/>
      <selection pane="topRight" activeCell="B1" sqref="B1"/>
      <selection pane="bottomLeft" activeCell="A4" sqref="A4"/>
      <selection pane="bottomRight"/>
    </sheetView>
  </sheetViews>
  <sheetFormatPr defaultColWidth="8.75" defaultRowHeight="12" outlineLevelCol="1"/>
  <cols>
    <col min="1" max="1" width="43.25" style="1" customWidth="1"/>
    <col min="2" max="2" width="40.33203125" style="1" customWidth="1"/>
    <col min="3" max="12" width="11.75" style="1" customWidth="1" outlineLevel="1"/>
    <col min="13" max="13" width="13.58203125" style="1" customWidth="1" outlineLevel="1"/>
    <col min="14" max="14" width="12.25" style="1" customWidth="1" outlineLevel="1"/>
    <col min="15" max="22" width="13.33203125" style="1" customWidth="1"/>
    <col min="23" max="24" width="12.25" style="1" customWidth="1"/>
    <col min="25" max="26" width="13.25" style="1" customWidth="1"/>
    <col min="27" max="34" width="12.25" style="1" customWidth="1"/>
    <col min="35" max="35" width="13" style="1" customWidth="1"/>
    <col min="36" max="38" width="8.75" style="1"/>
    <col min="39" max="39" width="10.58203125" style="1" customWidth="1"/>
    <col min="40" max="40" width="8.75" style="1"/>
    <col min="41" max="41" width="11.75" style="1" customWidth="1"/>
    <col min="42" max="16384" width="8.75" style="1"/>
  </cols>
  <sheetData>
    <row r="1" spans="1:38" ht="15.5">
      <c r="A1" s="39" t="s">
        <v>13</v>
      </c>
      <c r="D1" s="41"/>
      <c r="E1" s="41"/>
      <c r="F1" s="41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I1" s="262"/>
    </row>
    <row r="2" spans="1:38" ht="15.5">
      <c r="A2" s="39" t="s">
        <v>499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I2" s="262"/>
    </row>
    <row r="3" spans="1:38" s="117" customFormat="1" ht="24.5" thickBot="1">
      <c r="A3" s="98" t="s">
        <v>389</v>
      </c>
      <c r="B3" s="98" t="s">
        <v>99</v>
      </c>
      <c r="C3" s="115" t="s">
        <v>179</v>
      </c>
      <c r="D3" s="115" t="s">
        <v>182</v>
      </c>
      <c r="E3" s="115" t="s">
        <v>185</v>
      </c>
      <c r="F3" s="115" t="s">
        <v>190</v>
      </c>
      <c r="G3" s="115" t="s">
        <v>192</v>
      </c>
      <c r="H3" s="115" t="s">
        <v>263</v>
      </c>
      <c r="I3" s="115" t="s">
        <v>298</v>
      </c>
      <c r="J3" s="115" t="s">
        <v>303</v>
      </c>
      <c r="K3" s="115" t="s">
        <v>306</v>
      </c>
      <c r="L3" s="115" t="s">
        <v>316</v>
      </c>
      <c r="M3" s="115" t="s">
        <v>320</v>
      </c>
      <c r="N3" s="115" t="s">
        <v>326</v>
      </c>
      <c r="O3" s="115" t="s">
        <v>400</v>
      </c>
      <c r="P3" s="115" t="s">
        <v>470</v>
      </c>
      <c r="Q3" s="115" t="s">
        <v>475</v>
      </c>
      <c r="R3" s="115" t="s">
        <v>484</v>
      </c>
      <c r="S3" s="115" t="s">
        <v>489</v>
      </c>
      <c r="T3" s="115" t="s">
        <v>493</v>
      </c>
      <c r="U3" s="115" t="s">
        <v>505</v>
      </c>
      <c r="V3" s="115" t="s">
        <v>510</v>
      </c>
      <c r="W3" s="115" t="s">
        <v>515</v>
      </c>
      <c r="X3" s="115" t="s">
        <v>523</v>
      </c>
      <c r="Y3" s="115" t="s">
        <v>527</v>
      </c>
      <c r="Z3" s="115" t="s">
        <v>533</v>
      </c>
      <c r="AA3" s="115" t="s">
        <v>547</v>
      </c>
      <c r="AB3" s="115" t="s">
        <v>648</v>
      </c>
      <c r="AC3" s="115" t="s">
        <v>652</v>
      </c>
      <c r="AD3" s="115" t="s">
        <v>661</v>
      </c>
      <c r="AE3" s="115" t="s">
        <v>666</v>
      </c>
      <c r="AF3" s="115" t="s">
        <v>672</v>
      </c>
      <c r="AG3" s="115" t="s">
        <v>680</v>
      </c>
      <c r="AH3" s="115" t="s">
        <v>685</v>
      </c>
      <c r="AI3" s="115" t="s">
        <v>690</v>
      </c>
      <c r="AJ3" s="1"/>
      <c r="AK3" s="1"/>
      <c r="AL3" s="15"/>
    </row>
    <row r="4" spans="1:38">
      <c r="A4" s="49" t="s">
        <v>14</v>
      </c>
      <c r="B4" s="45" t="s">
        <v>193</v>
      </c>
      <c r="C4" s="4">
        <v>594025</v>
      </c>
      <c r="D4" s="4">
        <f t="shared" ref="D4:F5" si="0">+D42-C42</f>
        <v>602557</v>
      </c>
      <c r="E4" s="4">
        <f t="shared" si="0"/>
        <v>621594</v>
      </c>
      <c r="F4" s="4">
        <f t="shared" si="0"/>
        <v>621154</v>
      </c>
      <c r="G4" s="4">
        <v>617997</v>
      </c>
      <c r="H4" s="4">
        <f t="shared" ref="H4:J5" si="1">+H42-G42</f>
        <v>640161</v>
      </c>
      <c r="I4" s="4">
        <f t="shared" si="1"/>
        <v>665522</v>
      </c>
      <c r="J4" s="4">
        <f t="shared" si="1"/>
        <v>698658</v>
      </c>
      <c r="K4" s="4">
        <f>+K42</f>
        <v>710898</v>
      </c>
      <c r="L4" s="4">
        <f t="shared" ref="L4:N5" si="2">+L42-K42</f>
        <v>804734.37461358006</v>
      </c>
      <c r="M4" s="4">
        <f t="shared" si="2"/>
        <v>957779.62538641994</v>
      </c>
      <c r="N4" s="4">
        <f>+N42-M42</f>
        <v>963892</v>
      </c>
      <c r="O4" s="4">
        <f>+O42</f>
        <v>927731</v>
      </c>
      <c r="P4" s="4">
        <f t="shared" ref="P4:R5" si="3">+P42-O42</f>
        <v>809353</v>
      </c>
      <c r="Q4" s="4">
        <f t="shared" si="3"/>
        <v>692996</v>
      </c>
      <c r="R4" s="4">
        <f t="shared" si="3"/>
        <v>662039</v>
      </c>
      <c r="S4" s="4">
        <f>+S42</f>
        <v>652138</v>
      </c>
      <c r="T4" s="4">
        <f t="shared" ref="T4:V19" si="4">+T42-S42</f>
        <v>687758</v>
      </c>
      <c r="U4" s="4">
        <f t="shared" si="4"/>
        <v>696410</v>
      </c>
      <c r="V4" s="4">
        <f t="shared" si="4"/>
        <v>805787</v>
      </c>
      <c r="W4" s="4">
        <f>+W42</f>
        <v>1059315</v>
      </c>
      <c r="X4" s="4">
        <f t="shared" ref="X4:Z5" si="5">+X42-W42</f>
        <v>1491924</v>
      </c>
      <c r="Y4" s="173">
        <f t="shared" si="5"/>
        <v>407424</v>
      </c>
      <c r="Z4" s="173">
        <f t="shared" si="5"/>
        <v>2041234</v>
      </c>
      <c r="AA4" s="4">
        <f>+AA42</f>
        <v>2071433</v>
      </c>
      <c r="AB4" s="4">
        <f t="shared" ref="AB4:AD5" si="6">+AB42-AA42</f>
        <v>2087525</v>
      </c>
      <c r="AC4" s="4">
        <f t="shared" si="6"/>
        <v>2157147</v>
      </c>
      <c r="AD4" s="173">
        <f t="shared" si="6"/>
        <v>2119668</v>
      </c>
      <c r="AE4" s="4">
        <f>+AE42</f>
        <v>2169427</v>
      </c>
      <c r="AF4" s="173">
        <f t="shared" ref="AF4:AH5" si="7">+AF42-AE42</f>
        <v>2005199</v>
      </c>
      <c r="AG4" s="173">
        <f>+AG42-AF42</f>
        <v>2313169</v>
      </c>
      <c r="AH4" s="173">
        <f>+AH42-AG42</f>
        <v>2335332</v>
      </c>
      <c r="AI4" s="4">
        <f>+AI42</f>
        <v>2268053</v>
      </c>
      <c r="AK4" s="15"/>
      <c r="AL4" s="15"/>
    </row>
    <row r="5" spans="1:38">
      <c r="A5" s="49" t="s">
        <v>194</v>
      </c>
      <c r="B5" s="44" t="s">
        <v>57</v>
      </c>
      <c r="C5" s="5">
        <v>-182862</v>
      </c>
      <c r="D5" s="5">
        <f t="shared" si="0"/>
        <v>-172653</v>
      </c>
      <c r="E5" s="5">
        <f t="shared" si="0"/>
        <v>-174971</v>
      </c>
      <c r="F5" s="5">
        <f t="shared" si="0"/>
        <v>-171984</v>
      </c>
      <c r="G5" s="5">
        <v>-181304</v>
      </c>
      <c r="H5" s="5">
        <f t="shared" si="1"/>
        <v>-183908</v>
      </c>
      <c r="I5" s="5">
        <f t="shared" si="1"/>
        <v>-184406</v>
      </c>
      <c r="J5" s="5">
        <f t="shared" si="1"/>
        <v>-194826</v>
      </c>
      <c r="K5" s="5">
        <f>+K43</f>
        <v>-210567</v>
      </c>
      <c r="L5" s="5">
        <f t="shared" si="2"/>
        <v>-220403</v>
      </c>
      <c r="M5" s="5">
        <f t="shared" si="2"/>
        <v>-252590</v>
      </c>
      <c r="N5" s="5">
        <f t="shared" si="2"/>
        <v>-254357</v>
      </c>
      <c r="O5" s="5">
        <f>+O43</f>
        <v>-251964</v>
      </c>
      <c r="P5" s="5">
        <f t="shared" si="3"/>
        <v>-181896</v>
      </c>
      <c r="Q5" s="5">
        <f t="shared" si="3"/>
        <v>-69051</v>
      </c>
      <c r="R5" s="5">
        <f>+R43-Q43</f>
        <v>-40608</v>
      </c>
      <c r="S5" s="5">
        <f>+S43</f>
        <v>-32638</v>
      </c>
      <c r="T5" s="5">
        <f t="shared" si="4"/>
        <v>-30092</v>
      </c>
      <c r="U5" s="5">
        <f t="shared" si="4"/>
        <v>-27532</v>
      </c>
      <c r="V5" s="5">
        <f t="shared" si="4"/>
        <v>-38688</v>
      </c>
      <c r="W5" s="5">
        <f>+W43</f>
        <v>-98276</v>
      </c>
      <c r="X5" s="5">
        <f t="shared" si="5"/>
        <v>-313042</v>
      </c>
      <c r="Y5" s="5">
        <f t="shared" si="5"/>
        <v>-558933</v>
      </c>
      <c r="Z5" s="5">
        <f t="shared" si="5"/>
        <v>-692355</v>
      </c>
      <c r="AA5" s="5">
        <f>+AA43</f>
        <v>-809309</v>
      </c>
      <c r="AB5" s="5">
        <f t="shared" si="6"/>
        <v>-751699</v>
      </c>
      <c r="AC5" s="5">
        <f t="shared" si="6"/>
        <v>-785386</v>
      </c>
      <c r="AD5" s="5">
        <f t="shared" si="6"/>
        <v>-835890</v>
      </c>
      <c r="AE5" s="5">
        <f>+AE43</f>
        <v>-815182</v>
      </c>
      <c r="AF5" s="5">
        <f t="shared" si="7"/>
        <v>-823627</v>
      </c>
      <c r="AG5" s="5">
        <f t="shared" si="7"/>
        <v>-824087</v>
      </c>
      <c r="AH5" s="5">
        <f t="shared" si="7"/>
        <v>-830287</v>
      </c>
      <c r="AI5" s="5">
        <f>+AI43</f>
        <v>-844598</v>
      </c>
      <c r="AK5" s="15"/>
      <c r="AL5" s="15"/>
    </row>
    <row r="6" spans="1:38">
      <c r="A6" s="101" t="s">
        <v>15</v>
      </c>
      <c r="B6" s="46" t="s">
        <v>58</v>
      </c>
      <c r="C6" s="6">
        <f t="shared" ref="C6:J6" si="8">SUM(C4:C5)</f>
        <v>411163</v>
      </c>
      <c r="D6" s="6">
        <f t="shared" si="8"/>
        <v>429904</v>
      </c>
      <c r="E6" s="6">
        <f t="shared" si="8"/>
        <v>446623</v>
      </c>
      <c r="F6" s="6">
        <f t="shared" si="8"/>
        <v>449170</v>
      </c>
      <c r="G6" s="6">
        <f t="shared" si="8"/>
        <v>436693</v>
      </c>
      <c r="H6" s="6">
        <f t="shared" si="8"/>
        <v>456253</v>
      </c>
      <c r="I6" s="6">
        <f t="shared" si="8"/>
        <v>481116</v>
      </c>
      <c r="J6" s="6">
        <f t="shared" si="8"/>
        <v>503832</v>
      </c>
      <c r="K6" s="6">
        <f t="shared" ref="K6:N6" si="9">SUM(K4:K5)</f>
        <v>500331</v>
      </c>
      <c r="L6" s="6">
        <f t="shared" si="9"/>
        <v>584331.37461358006</v>
      </c>
      <c r="M6" s="6">
        <f t="shared" si="9"/>
        <v>705189.62538641994</v>
      </c>
      <c r="N6" s="6">
        <f t="shared" si="9"/>
        <v>709535</v>
      </c>
      <c r="O6" s="6">
        <f t="shared" ref="O6:R6" si="10">SUM(O4:O5)</f>
        <v>675767</v>
      </c>
      <c r="P6" s="6">
        <f t="shared" si="10"/>
        <v>627457</v>
      </c>
      <c r="Q6" s="6">
        <f t="shared" si="10"/>
        <v>623945</v>
      </c>
      <c r="R6" s="6">
        <f t="shared" si="10"/>
        <v>621431</v>
      </c>
      <c r="S6" s="6">
        <f t="shared" ref="S6:AG6" si="11">SUM(S4:S5)</f>
        <v>619500</v>
      </c>
      <c r="T6" s="6">
        <f t="shared" si="11"/>
        <v>657666</v>
      </c>
      <c r="U6" s="6">
        <f t="shared" si="11"/>
        <v>668878</v>
      </c>
      <c r="V6" s="6">
        <f t="shared" si="11"/>
        <v>767099</v>
      </c>
      <c r="W6" s="6">
        <f t="shared" si="11"/>
        <v>961039</v>
      </c>
      <c r="X6" s="6">
        <f t="shared" si="11"/>
        <v>1178882</v>
      </c>
      <c r="Y6" s="174">
        <f t="shared" si="11"/>
        <v>-151509</v>
      </c>
      <c r="Z6" s="174">
        <f t="shared" si="11"/>
        <v>1348879</v>
      </c>
      <c r="AA6" s="6">
        <f t="shared" si="11"/>
        <v>1262124</v>
      </c>
      <c r="AB6" s="6">
        <f t="shared" si="11"/>
        <v>1335826</v>
      </c>
      <c r="AC6" s="6">
        <f t="shared" si="11"/>
        <v>1371761</v>
      </c>
      <c r="AD6" s="174">
        <f t="shared" si="11"/>
        <v>1283778</v>
      </c>
      <c r="AE6" s="6">
        <f t="shared" si="11"/>
        <v>1354245</v>
      </c>
      <c r="AF6" s="174">
        <f t="shared" si="11"/>
        <v>1181572</v>
      </c>
      <c r="AG6" s="174">
        <f t="shared" si="11"/>
        <v>1489082</v>
      </c>
      <c r="AH6" s="174">
        <f t="shared" ref="AH6:AI6" si="12">SUM(AH4:AH5)</f>
        <v>1505045</v>
      </c>
      <c r="AI6" s="6">
        <f t="shared" si="12"/>
        <v>1423455</v>
      </c>
      <c r="AK6" s="15"/>
      <c r="AL6" s="15"/>
    </row>
    <row r="7" spans="1:38">
      <c r="A7" s="49" t="s">
        <v>0</v>
      </c>
      <c r="B7" s="44" t="s">
        <v>59</v>
      </c>
      <c r="C7" s="5">
        <v>196098</v>
      </c>
      <c r="D7" s="5">
        <f t="shared" ref="D7:F8" si="13">+D45-C45</f>
        <v>196164</v>
      </c>
      <c r="E7" s="5">
        <f t="shared" si="13"/>
        <v>201064</v>
      </c>
      <c r="F7" s="5">
        <f t="shared" si="13"/>
        <v>205962</v>
      </c>
      <c r="G7" s="5">
        <v>209202</v>
      </c>
      <c r="H7" s="5">
        <f t="shared" ref="H7:J8" si="14">+H45-G45</f>
        <v>205359</v>
      </c>
      <c r="I7" s="5">
        <f t="shared" si="14"/>
        <v>205347</v>
      </c>
      <c r="J7" s="5">
        <f t="shared" si="14"/>
        <v>204337</v>
      </c>
      <c r="K7" s="5">
        <f>+K45</f>
        <v>201530</v>
      </c>
      <c r="L7" s="5">
        <f t="shared" ref="L7:N8" si="15">+L45-K45</f>
        <v>221297</v>
      </c>
      <c r="M7" s="5">
        <f t="shared" si="15"/>
        <v>238271</v>
      </c>
      <c r="N7" s="5">
        <f t="shared" si="15"/>
        <v>238789</v>
      </c>
      <c r="O7" s="5">
        <f>+O45</f>
        <v>247669</v>
      </c>
      <c r="P7" s="5">
        <f t="shared" ref="P7:R8" si="16">+P45-O45</f>
        <v>224034</v>
      </c>
      <c r="Q7" s="5">
        <f t="shared" si="16"/>
        <v>235165</v>
      </c>
      <c r="R7" s="5">
        <f t="shared" si="16"/>
        <v>240546</v>
      </c>
      <c r="S7" s="5">
        <f>+S45</f>
        <v>245994</v>
      </c>
      <c r="T7" s="5">
        <f t="shared" si="4"/>
        <v>253855</v>
      </c>
      <c r="U7" s="5">
        <f t="shared" si="4"/>
        <v>251897</v>
      </c>
      <c r="V7" s="5">
        <f>+V45-U45</f>
        <v>260504</v>
      </c>
      <c r="W7" s="5">
        <f t="shared" ref="W7:W8" si="17">+W45</f>
        <v>267907</v>
      </c>
      <c r="X7" s="5">
        <f t="shared" ref="X7:Z8" si="18">+X45-W45</f>
        <v>260498</v>
      </c>
      <c r="Y7" s="5">
        <f t="shared" si="18"/>
        <v>239857</v>
      </c>
      <c r="Z7" s="5">
        <f t="shared" si="18"/>
        <v>259483</v>
      </c>
      <c r="AA7" s="5">
        <f t="shared" ref="AA7:AA8" si="19">+AA45</f>
        <v>260648</v>
      </c>
      <c r="AB7" s="5">
        <f t="shared" ref="AB7:AD8" si="20">+AB45-AA45</f>
        <v>263951</v>
      </c>
      <c r="AC7" s="5">
        <f t="shared" si="20"/>
        <v>255782</v>
      </c>
      <c r="AD7" s="5">
        <f t="shared" si="20"/>
        <v>256754</v>
      </c>
      <c r="AE7" s="5">
        <f t="shared" ref="AE7:AE8" si="21">+AE45</f>
        <v>262422</v>
      </c>
      <c r="AF7" s="5">
        <f t="shared" ref="AF7:AH8" si="22">+AF45-AE45</f>
        <v>262149</v>
      </c>
      <c r="AG7" s="5">
        <f t="shared" si="22"/>
        <v>274671</v>
      </c>
      <c r="AH7" s="5">
        <f t="shared" si="22"/>
        <v>259077</v>
      </c>
      <c r="AI7" s="5">
        <f t="shared" ref="AI7:AI8" si="23">+AI45</f>
        <v>249475</v>
      </c>
      <c r="AK7" s="15"/>
      <c r="AL7" s="15"/>
    </row>
    <row r="8" spans="1:38">
      <c r="A8" s="49" t="s">
        <v>195</v>
      </c>
      <c r="B8" s="44" t="s">
        <v>60</v>
      </c>
      <c r="C8" s="5">
        <v>-29981</v>
      </c>
      <c r="D8" s="5">
        <f t="shared" si="13"/>
        <v>-33646</v>
      </c>
      <c r="E8" s="5">
        <f t="shared" si="13"/>
        <v>-35526</v>
      </c>
      <c r="F8" s="5">
        <f t="shared" si="13"/>
        <v>-36582</v>
      </c>
      <c r="G8" s="5">
        <v>-36698</v>
      </c>
      <c r="H8" s="5">
        <f t="shared" si="14"/>
        <v>-41276</v>
      </c>
      <c r="I8" s="5">
        <f t="shared" si="14"/>
        <v>-42434</v>
      </c>
      <c r="J8" s="5">
        <f t="shared" si="14"/>
        <v>-42768</v>
      </c>
      <c r="K8" s="5">
        <f>+K46</f>
        <v>-38356</v>
      </c>
      <c r="L8" s="5">
        <f t="shared" si="15"/>
        <v>-46272</v>
      </c>
      <c r="M8" s="5">
        <f t="shared" si="15"/>
        <v>-59964</v>
      </c>
      <c r="N8" s="5">
        <f t="shared" si="15"/>
        <v>-56142</v>
      </c>
      <c r="O8" s="5">
        <f>+O46</f>
        <v>-53136</v>
      </c>
      <c r="P8" s="5">
        <f t="shared" si="16"/>
        <v>-45039</v>
      </c>
      <c r="Q8" s="5">
        <f t="shared" si="16"/>
        <v>-55367</v>
      </c>
      <c r="R8" s="5">
        <f t="shared" si="16"/>
        <v>-47816</v>
      </c>
      <c r="S8" s="5">
        <f>+S46</f>
        <v>-41217</v>
      </c>
      <c r="T8" s="5">
        <f t="shared" si="4"/>
        <v>-44545</v>
      </c>
      <c r="U8" s="5">
        <f t="shared" si="4"/>
        <v>-50332</v>
      </c>
      <c r="V8" s="5">
        <f t="shared" si="4"/>
        <v>-45544</v>
      </c>
      <c r="W8" s="5">
        <f t="shared" si="17"/>
        <v>-47091</v>
      </c>
      <c r="X8" s="5">
        <f t="shared" si="18"/>
        <v>-54376</v>
      </c>
      <c r="Y8" s="5">
        <f t="shared" si="18"/>
        <v>-60487</v>
      </c>
      <c r="Z8" s="5">
        <f t="shared" si="18"/>
        <v>-57486</v>
      </c>
      <c r="AA8" s="5">
        <f t="shared" si="19"/>
        <v>-59716</v>
      </c>
      <c r="AB8" s="5">
        <f t="shared" si="20"/>
        <v>-60931</v>
      </c>
      <c r="AC8" s="5">
        <f t="shared" si="20"/>
        <v>-67824</v>
      </c>
      <c r="AD8" s="5">
        <f t="shared" si="20"/>
        <v>-66279</v>
      </c>
      <c r="AE8" s="5">
        <f t="shared" si="21"/>
        <v>-62840</v>
      </c>
      <c r="AF8" s="5">
        <f t="shared" si="22"/>
        <v>-71610</v>
      </c>
      <c r="AG8" s="5">
        <f t="shared" si="22"/>
        <v>-76037</v>
      </c>
      <c r="AH8" s="5">
        <f t="shared" si="22"/>
        <v>-71134</v>
      </c>
      <c r="AI8" s="5">
        <f t="shared" si="23"/>
        <v>-66928</v>
      </c>
    </row>
    <row r="9" spans="1:38">
      <c r="A9" s="101" t="s">
        <v>1</v>
      </c>
      <c r="B9" s="46" t="s">
        <v>61</v>
      </c>
      <c r="C9" s="6">
        <f t="shared" ref="C9:J9" si="24">SUM(C7:C8)</f>
        <v>166117</v>
      </c>
      <c r="D9" s="6">
        <f t="shared" si="24"/>
        <v>162518</v>
      </c>
      <c r="E9" s="6">
        <f t="shared" si="24"/>
        <v>165538</v>
      </c>
      <c r="F9" s="6">
        <f t="shared" si="24"/>
        <v>169380</v>
      </c>
      <c r="G9" s="6">
        <f t="shared" si="24"/>
        <v>172504</v>
      </c>
      <c r="H9" s="6">
        <f t="shared" si="24"/>
        <v>164083</v>
      </c>
      <c r="I9" s="6">
        <f t="shared" si="24"/>
        <v>162913</v>
      </c>
      <c r="J9" s="6">
        <f t="shared" si="24"/>
        <v>161569</v>
      </c>
      <c r="K9" s="6">
        <f t="shared" ref="K9:N9" si="25">SUM(K7:K8)</f>
        <v>163174</v>
      </c>
      <c r="L9" s="6">
        <f t="shared" si="25"/>
        <v>175025</v>
      </c>
      <c r="M9" s="6">
        <f t="shared" si="25"/>
        <v>178307</v>
      </c>
      <c r="N9" s="6">
        <f t="shared" si="25"/>
        <v>182647</v>
      </c>
      <c r="O9" s="6">
        <f t="shared" ref="O9:R9" si="26">SUM(O7:O8)</f>
        <v>194533</v>
      </c>
      <c r="P9" s="6">
        <f t="shared" si="26"/>
        <v>178995</v>
      </c>
      <c r="Q9" s="6">
        <f t="shared" si="26"/>
        <v>179798</v>
      </c>
      <c r="R9" s="6">
        <f t="shared" si="26"/>
        <v>192730</v>
      </c>
      <c r="S9" s="6">
        <f t="shared" ref="S9:AG9" si="27">SUM(S7:S8)</f>
        <v>204777</v>
      </c>
      <c r="T9" s="6">
        <f t="shared" si="27"/>
        <v>209310</v>
      </c>
      <c r="U9" s="6">
        <f t="shared" si="27"/>
        <v>201565</v>
      </c>
      <c r="V9" s="6">
        <f t="shared" si="27"/>
        <v>214960</v>
      </c>
      <c r="W9" s="6">
        <f t="shared" si="27"/>
        <v>220816</v>
      </c>
      <c r="X9" s="6">
        <f t="shared" si="27"/>
        <v>206122</v>
      </c>
      <c r="Y9" s="6">
        <f t="shared" si="27"/>
        <v>179370</v>
      </c>
      <c r="Z9" s="6">
        <f t="shared" si="27"/>
        <v>201997</v>
      </c>
      <c r="AA9" s="6">
        <f t="shared" si="27"/>
        <v>200932</v>
      </c>
      <c r="AB9" s="6">
        <f t="shared" si="27"/>
        <v>203020</v>
      </c>
      <c r="AC9" s="6">
        <f t="shared" si="27"/>
        <v>187958</v>
      </c>
      <c r="AD9" s="6">
        <f t="shared" si="27"/>
        <v>190475</v>
      </c>
      <c r="AE9" s="6">
        <f t="shared" si="27"/>
        <v>199582</v>
      </c>
      <c r="AF9" s="6">
        <f t="shared" si="27"/>
        <v>190539</v>
      </c>
      <c r="AG9" s="6">
        <f t="shared" si="27"/>
        <v>198634</v>
      </c>
      <c r="AH9" s="6">
        <f t="shared" ref="AH9:AI9" si="28">SUM(AH7:AH8)</f>
        <v>187943</v>
      </c>
      <c r="AI9" s="6">
        <f t="shared" si="28"/>
        <v>182547</v>
      </c>
      <c r="AL9" s="15"/>
    </row>
    <row r="10" spans="1:38">
      <c r="A10" s="49" t="s">
        <v>2</v>
      </c>
      <c r="B10" s="44" t="s">
        <v>62</v>
      </c>
      <c r="C10" s="5">
        <v>285</v>
      </c>
      <c r="D10" s="5">
        <f t="shared" ref="D10:F17" si="29">+D48-C48</f>
        <v>2041</v>
      </c>
      <c r="E10" s="5">
        <f t="shared" si="29"/>
        <v>139</v>
      </c>
      <c r="F10" s="5">
        <f t="shared" si="29"/>
        <v>147</v>
      </c>
      <c r="G10" s="5">
        <v>149</v>
      </c>
      <c r="H10" s="5">
        <f t="shared" ref="H10:J17" si="30">+H48-G48</f>
        <v>2075</v>
      </c>
      <c r="I10" s="5">
        <f t="shared" si="30"/>
        <v>181</v>
      </c>
      <c r="J10" s="5">
        <f t="shared" si="30"/>
        <v>196</v>
      </c>
      <c r="K10" s="5">
        <f t="shared" ref="K10:K17" si="31">+K48</f>
        <v>198</v>
      </c>
      <c r="L10" s="5">
        <f t="shared" ref="L10:N17" si="32">+L48-K48</f>
        <v>2484</v>
      </c>
      <c r="M10" s="5">
        <f t="shared" si="32"/>
        <v>257</v>
      </c>
      <c r="N10" s="5">
        <f t="shared" si="32"/>
        <v>275</v>
      </c>
      <c r="O10" s="5">
        <f t="shared" ref="O10:O17" si="33">+O48</f>
        <v>243</v>
      </c>
      <c r="P10" s="5">
        <f t="shared" ref="P10:R17" si="34">+P48-O48</f>
        <v>3025</v>
      </c>
      <c r="Q10" s="5">
        <f t="shared" si="34"/>
        <v>274</v>
      </c>
      <c r="R10" s="5">
        <f t="shared" si="34"/>
        <v>136</v>
      </c>
      <c r="S10" s="5">
        <f t="shared" ref="S10:S17" si="35">+S48</f>
        <v>136</v>
      </c>
      <c r="T10" s="5">
        <f t="shared" si="4"/>
        <v>2567</v>
      </c>
      <c r="U10" s="5">
        <f t="shared" si="4"/>
        <v>735</v>
      </c>
      <c r="V10" s="5">
        <f t="shared" si="4"/>
        <v>323</v>
      </c>
      <c r="W10" s="5">
        <f t="shared" ref="W10:W17" si="36">+W48</f>
        <v>299</v>
      </c>
      <c r="X10" s="5">
        <f t="shared" ref="X10:Z17" si="37">+X48-W48</f>
        <v>2761</v>
      </c>
      <c r="Y10" s="5">
        <f t="shared" si="37"/>
        <v>353</v>
      </c>
      <c r="Z10" s="5">
        <f t="shared" si="37"/>
        <v>383</v>
      </c>
      <c r="AA10" s="5">
        <f t="shared" ref="AA10:AA17" si="38">+AA48</f>
        <v>205</v>
      </c>
      <c r="AB10" s="5">
        <f t="shared" ref="AB10:AD17" si="39">+AB48-AA48</f>
        <v>2922</v>
      </c>
      <c r="AC10" s="5">
        <f t="shared" si="39"/>
        <v>151</v>
      </c>
      <c r="AD10" s="5">
        <f t="shared" si="39"/>
        <v>153</v>
      </c>
      <c r="AE10" s="5">
        <f t="shared" ref="AE10:AE17" si="40">+AE48</f>
        <v>152</v>
      </c>
      <c r="AF10" s="5">
        <f t="shared" ref="AF10:AH17" si="41">+AF48-AE48</f>
        <v>3237</v>
      </c>
      <c r="AG10" s="5">
        <f t="shared" si="41"/>
        <v>150</v>
      </c>
      <c r="AH10" s="5">
        <f t="shared" si="41"/>
        <v>87</v>
      </c>
      <c r="AI10" s="5">
        <f t="shared" ref="AI10:AI17" si="42">+AI48</f>
        <v>85</v>
      </c>
      <c r="AK10" s="15"/>
      <c r="AL10" s="15"/>
    </row>
    <row r="11" spans="1:38" ht="36">
      <c r="A11" s="49" t="s">
        <v>196</v>
      </c>
      <c r="B11" s="44" t="s">
        <v>197</v>
      </c>
      <c r="C11" s="5">
        <v>332</v>
      </c>
      <c r="D11" s="5">
        <f t="shared" si="29"/>
        <v>3849</v>
      </c>
      <c r="E11" s="5">
        <f t="shared" si="29"/>
        <v>5038</v>
      </c>
      <c r="F11" s="5">
        <f t="shared" si="29"/>
        <v>16069</v>
      </c>
      <c r="G11" s="5">
        <v>3160</v>
      </c>
      <c r="H11" s="5">
        <f t="shared" si="30"/>
        <v>5439</v>
      </c>
      <c r="I11" s="5">
        <f t="shared" si="30"/>
        <v>7078</v>
      </c>
      <c r="J11" s="5">
        <f t="shared" si="30"/>
        <v>3220</v>
      </c>
      <c r="K11" s="5">
        <f t="shared" si="31"/>
        <v>14921</v>
      </c>
      <c r="L11" s="5">
        <f t="shared" si="32"/>
        <v>14383</v>
      </c>
      <c r="M11" s="5">
        <f t="shared" si="32"/>
        <v>5005</v>
      </c>
      <c r="N11" s="5">
        <f t="shared" si="32"/>
        <v>3718</v>
      </c>
      <c r="O11" s="5">
        <f t="shared" si="33"/>
        <v>13747</v>
      </c>
      <c r="P11" s="5">
        <f t="shared" si="34"/>
        <v>35173</v>
      </c>
      <c r="Q11" s="5">
        <f t="shared" si="34"/>
        <v>29103</v>
      </c>
      <c r="R11" s="5">
        <f t="shared" si="34"/>
        <v>50059</v>
      </c>
      <c r="S11" s="5">
        <f t="shared" si="35"/>
        <v>863</v>
      </c>
      <c r="T11" s="5">
        <f t="shared" si="4"/>
        <v>8402</v>
      </c>
      <c r="U11" s="5">
        <f t="shared" si="4"/>
        <v>973</v>
      </c>
      <c r="V11" s="5">
        <f t="shared" si="4"/>
        <v>-569</v>
      </c>
      <c r="W11" s="5">
        <f t="shared" si="36"/>
        <v>-719</v>
      </c>
      <c r="X11" s="5">
        <f t="shared" si="37"/>
        <v>-774</v>
      </c>
      <c r="Y11" s="5">
        <f t="shared" si="37"/>
        <v>-475</v>
      </c>
      <c r="Z11" s="5">
        <f t="shared" si="37"/>
        <v>-638</v>
      </c>
      <c r="AA11" s="5">
        <f t="shared" si="38"/>
        <v>546223</v>
      </c>
      <c r="AB11" s="5">
        <f t="shared" si="39"/>
        <v>-5580</v>
      </c>
      <c r="AC11" s="5">
        <f t="shared" si="39"/>
        <v>-862</v>
      </c>
      <c r="AD11" s="5">
        <f t="shared" si="39"/>
        <v>-859</v>
      </c>
      <c r="AE11" s="5">
        <f t="shared" si="40"/>
        <v>-414</v>
      </c>
      <c r="AF11" s="5">
        <f t="shared" si="41"/>
        <v>-319</v>
      </c>
      <c r="AG11" s="5">
        <f t="shared" si="41"/>
        <v>-400</v>
      </c>
      <c r="AH11" s="5">
        <f t="shared" si="41"/>
        <v>-849</v>
      </c>
      <c r="AI11" s="5">
        <f t="shared" si="42"/>
        <v>-1448</v>
      </c>
      <c r="AL11" s="15"/>
    </row>
    <row r="12" spans="1:38" ht="24">
      <c r="A12" s="49" t="s">
        <v>198</v>
      </c>
      <c r="B12" s="44" t="s">
        <v>199</v>
      </c>
      <c r="C12" s="5">
        <v>-1020</v>
      </c>
      <c r="D12" s="5">
        <f t="shared" si="29"/>
        <v>1763</v>
      </c>
      <c r="E12" s="5">
        <f t="shared" si="29"/>
        <v>165</v>
      </c>
      <c r="F12" s="5">
        <f t="shared" si="29"/>
        <v>1280</v>
      </c>
      <c r="G12" s="5">
        <v>8775</v>
      </c>
      <c r="H12" s="5">
        <f t="shared" si="30"/>
        <v>3883</v>
      </c>
      <c r="I12" s="5">
        <f t="shared" si="30"/>
        <v>3195</v>
      </c>
      <c r="J12" s="5">
        <f t="shared" si="30"/>
        <v>5503</v>
      </c>
      <c r="K12" s="5">
        <f t="shared" si="31"/>
        <v>1736</v>
      </c>
      <c r="L12" s="5">
        <f t="shared" si="32"/>
        <v>1753</v>
      </c>
      <c r="M12" s="5">
        <f t="shared" si="32"/>
        <v>1492</v>
      </c>
      <c r="N12" s="5">
        <f t="shared" si="32"/>
        <v>738</v>
      </c>
      <c r="O12" s="5">
        <f t="shared" si="33"/>
        <v>9734</v>
      </c>
      <c r="P12" s="5">
        <f t="shared" si="34"/>
        <v>22405</v>
      </c>
      <c r="Q12" s="5">
        <f t="shared" si="34"/>
        <v>7916</v>
      </c>
      <c r="R12" s="5">
        <f t="shared" si="34"/>
        <v>7841</v>
      </c>
      <c r="S12" s="5">
        <f t="shared" si="35"/>
        <v>-1014</v>
      </c>
      <c r="T12" s="5">
        <f t="shared" si="4"/>
        <v>-5019</v>
      </c>
      <c r="U12" s="5">
        <f t="shared" si="4"/>
        <v>-1112</v>
      </c>
      <c r="V12" s="5">
        <f t="shared" si="4"/>
        <v>-2151</v>
      </c>
      <c r="W12" s="5">
        <f t="shared" si="36"/>
        <v>-2735</v>
      </c>
      <c r="X12" s="5">
        <f t="shared" si="37"/>
        <v>-2432</v>
      </c>
      <c r="Y12" s="5">
        <f t="shared" si="37"/>
        <v>6661</v>
      </c>
      <c r="Z12" s="5">
        <f t="shared" si="37"/>
        <v>-1806</v>
      </c>
      <c r="AA12" s="5">
        <f t="shared" si="38"/>
        <v>3135</v>
      </c>
      <c r="AB12" s="5">
        <f t="shared" si="39"/>
        <v>-1701</v>
      </c>
      <c r="AC12" s="5">
        <f t="shared" si="39"/>
        <v>-3750</v>
      </c>
      <c r="AD12" s="5">
        <f t="shared" si="39"/>
        <v>50736</v>
      </c>
      <c r="AE12" s="5">
        <f t="shared" si="40"/>
        <v>1355</v>
      </c>
      <c r="AF12" s="5">
        <f t="shared" si="41"/>
        <v>-3544</v>
      </c>
      <c r="AG12" s="5">
        <f t="shared" si="41"/>
        <v>-2578</v>
      </c>
      <c r="AH12" s="5">
        <f t="shared" si="41"/>
        <v>-2439</v>
      </c>
      <c r="AI12" s="5">
        <f t="shared" si="42"/>
        <v>12996</v>
      </c>
      <c r="AK12" s="15"/>
      <c r="AL12" s="15"/>
    </row>
    <row r="13" spans="1:38" ht="36">
      <c r="A13" s="49" t="s">
        <v>292</v>
      </c>
      <c r="B13" s="44" t="s">
        <v>293</v>
      </c>
      <c r="C13" s="5">
        <v>0</v>
      </c>
      <c r="D13" s="5">
        <f t="shared" si="29"/>
        <v>0</v>
      </c>
      <c r="E13" s="5">
        <f t="shared" si="29"/>
        <v>0</v>
      </c>
      <c r="F13" s="5">
        <f t="shared" si="29"/>
        <v>0</v>
      </c>
      <c r="G13" s="5">
        <v>853</v>
      </c>
      <c r="H13" s="5">
        <f t="shared" si="30"/>
        <v>6521</v>
      </c>
      <c r="I13" s="5">
        <f t="shared" si="30"/>
        <v>4160</v>
      </c>
      <c r="J13" s="5">
        <f t="shared" si="30"/>
        <v>2021</v>
      </c>
      <c r="K13" s="5">
        <f t="shared" si="31"/>
        <v>8982</v>
      </c>
      <c r="L13" s="5">
        <f t="shared" si="32"/>
        <v>6651</v>
      </c>
      <c r="M13" s="5">
        <f t="shared" si="32"/>
        <v>49795</v>
      </c>
      <c r="N13" s="5">
        <f t="shared" si="32"/>
        <v>23676</v>
      </c>
      <c r="O13" s="5">
        <f t="shared" si="33"/>
        <v>0</v>
      </c>
      <c r="P13" s="5">
        <f t="shared" si="34"/>
        <v>7487</v>
      </c>
      <c r="Q13" s="5">
        <f t="shared" si="34"/>
        <v>11531.687140000002</v>
      </c>
      <c r="R13" s="5">
        <f t="shared" si="34"/>
        <v>62477.661660000005</v>
      </c>
      <c r="S13" s="5">
        <f t="shared" si="35"/>
        <v>4037</v>
      </c>
      <c r="T13" s="5">
        <f t="shared" si="4"/>
        <v>12414</v>
      </c>
      <c r="U13" s="5">
        <f t="shared" si="4"/>
        <v>-1848</v>
      </c>
      <c r="V13" s="5">
        <f t="shared" si="4"/>
        <v>70054</v>
      </c>
      <c r="W13" s="5">
        <f t="shared" si="36"/>
        <v>8745</v>
      </c>
      <c r="X13" s="5">
        <f t="shared" si="37"/>
        <v>-11974</v>
      </c>
      <c r="Y13" s="5">
        <f t="shared" si="37"/>
        <v>626</v>
      </c>
      <c r="Z13" s="5">
        <f t="shared" si="37"/>
        <v>15796</v>
      </c>
      <c r="AA13" s="5">
        <f t="shared" si="38"/>
        <v>8572</v>
      </c>
      <c r="AB13" s="5">
        <f t="shared" si="39"/>
        <v>936</v>
      </c>
      <c r="AC13" s="5">
        <f t="shared" si="39"/>
        <v>2362</v>
      </c>
      <c r="AD13" s="5">
        <f t="shared" si="39"/>
        <v>1447</v>
      </c>
      <c r="AE13" s="5">
        <f t="shared" si="40"/>
        <v>7011</v>
      </c>
      <c r="AF13" s="5">
        <f t="shared" si="41"/>
        <v>-4799</v>
      </c>
      <c r="AG13" s="5">
        <f>+AG51-AF51</f>
        <v>4486</v>
      </c>
      <c r="AH13" s="5">
        <f>+AH51-AG51</f>
        <v>11691</v>
      </c>
      <c r="AI13" s="5">
        <f t="shared" si="42"/>
        <v>2323</v>
      </c>
      <c r="AK13" s="15"/>
      <c r="AL13" s="15"/>
    </row>
    <row r="14" spans="1:38">
      <c r="A14" s="49" t="s">
        <v>200</v>
      </c>
      <c r="B14" s="44" t="s">
        <v>201</v>
      </c>
      <c r="C14" s="5">
        <v>-4072</v>
      </c>
      <c r="D14" s="5">
        <f t="shared" si="29"/>
        <v>-4517</v>
      </c>
      <c r="E14" s="5">
        <f t="shared" si="29"/>
        <v>-4118</v>
      </c>
      <c r="F14" s="5">
        <f t="shared" si="29"/>
        <v>-7670</v>
      </c>
      <c r="G14" s="5">
        <v>-5429</v>
      </c>
      <c r="H14" s="5">
        <f t="shared" si="30"/>
        <v>-4529</v>
      </c>
      <c r="I14" s="5">
        <f t="shared" si="30"/>
        <v>-4949</v>
      </c>
      <c r="J14" s="5">
        <f t="shared" si="30"/>
        <v>-5130</v>
      </c>
      <c r="K14" s="5">
        <f t="shared" si="31"/>
        <v>-4821</v>
      </c>
      <c r="L14" s="5">
        <f t="shared" si="32"/>
        <v>-5130</v>
      </c>
      <c r="M14" s="5">
        <f t="shared" si="32"/>
        <v>-5687</v>
      </c>
      <c r="N14" s="5">
        <f t="shared" si="32"/>
        <v>-4183</v>
      </c>
      <c r="O14" s="5">
        <f t="shared" si="33"/>
        <v>-4514</v>
      </c>
      <c r="P14" s="5">
        <f t="shared" si="34"/>
        <v>-3518</v>
      </c>
      <c r="Q14" s="5">
        <f t="shared" si="34"/>
        <v>-2708</v>
      </c>
      <c r="R14" s="5">
        <f t="shared" si="34"/>
        <v>481</v>
      </c>
      <c r="S14" s="5">
        <f t="shared" si="35"/>
        <v>890</v>
      </c>
      <c r="T14" s="5">
        <f t="shared" si="4"/>
        <v>-1164</v>
      </c>
      <c r="U14" s="5">
        <f t="shared" si="4"/>
        <v>-1480</v>
      </c>
      <c r="V14" s="5">
        <f t="shared" si="4"/>
        <v>-1431</v>
      </c>
      <c r="W14" s="5">
        <f t="shared" si="36"/>
        <v>-2670</v>
      </c>
      <c r="X14" s="5">
        <f t="shared" si="37"/>
        <v>-677</v>
      </c>
      <c r="Y14" s="5">
        <f t="shared" si="37"/>
        <v>-2231</v>
      </c>
      <c r="Z14" s="5">
        <f t="shared" si="37"/>
        <v>-1552</v>
      </c>
      <c r="AA14" s="5">
        <f t="shared" si="38"/>
        <v>322</v>
      </c>
      <c r="AB14" s="5">
        <f t="shared" si="39"/>
        <v>-13</v>
      </c>
      <c r="AC14" s="5">
        <f t="shared" si="39"/>
        <v>1208</v>
      </c>
      <c r="AD14" s="5">
        <f t="shared" si="39"/>
        <v>-357</v>
      </c>
      <c r="AE14" s="5">
        <f t="shared" si="40"/>
        <v>-1247</v>
      </c>
      <c r="AF14" s="5">
        <f t="shared" si="41"/>
        <v>-209</v>
      </c>
      <c r="AG14" s="5">
        <f t="shared" si="41"/>
        <v>1657</v>
      </c>
      <c r="AH14" s="5">
        <f t="shared" si="41"/>
        <v>1343</v>
      </c>
      <c r="AI14" s="5">
        <f t="shared" si="42"/>
        <v>-683</v>
      </c>
      <c r="AK14" s="15"/>
      <c r="AL14" s="15"/>
    </row>
    <row r="15" spans="1:38">
      <c r="A15" s="49" t="s">
        <v>202</v>
      </c>
      <c r="B15" s="44" t="s">
        <v>63</v>
      </c>
      <c r="C15" s="5">
        <v>40068</v>
      </c>
      <c r="D15" s="5">
        <f t="shared" si="29"/>
        <v>41418</v>
      </c>
      <c r="E15" s="5">
        <f t="shared" si="29"/>
        <v>43407</v>
      </c>
      <c r="F15" s="5">
        <f t="shared" si="29"/>
        <v>44625</v>
      </c>
      <c r="G15" s="5">
        <v>36975</v>
      </c>
      <c r="H15" s="5">
        <f t="shared" si="30"/>
        <v>37068</v>
      </c>
      <c r="I15" s="5">
        <f t="shared" si="30"/>
        <v>36443</v>
      </c>
      <c r="J15" s="5">
        <f t="shared" si="30"/>
        <v>41134</v>
      </c>
      <c r="K15" s="5">
        <f t="shared" si="31"/>
        <v>32903</v>
      </c>
      <c r="L15" s="5">
        <f t="shared" si="32"/>
        <v>45774</v>
      </c>
      <c r="M15" s="5">
        <f t="shared" si="32"/>
        <v>45463</v>
      </c>
      <c r="N15" s="5">
        <f t="shared" si="32"/>
        <v>39007</v>
      </c>
      <c r="O15" s="5">
        <f t="shared" si="33"/>
        <v>43684</v>
      </c>
      <c r="P15" s="5">
        <f t="shared" si="34"/>
        <v>27949</v>
      </c>
      <c r="Q15" s="5">
        <f t="shared" si="34"/>
        <v>34603</v>
      </c>
      <c r="R15" s="5">
        <f t="shared" si="34"/>
        <v>14285</v>
      </c>
      <c r="S15" s="5">
        <f t="shared" si="35"/>
        <v>23155</v>
      </c>
      <c r="T15" s="5">
        <f t="shared" si="4"/>
        <v>-10843</v>
      </c>
      <c r="U15" s="5">
        <f t="shared" si="4"/>
        <v>-89173</v>
      </c>
      <c r="V15" s="5">
        <f t="shared" si="4"/>
        <v>-72138</v>
      </c>
      <c r="W15" s="5">
        <f t="shared" si="36"/>
        <v>-63141</v>
      </c>
      <c r="X15" s="5">
        <f t="shared" si="37"/>
        <v>-59874</v>
      </c>
      <c r="Y15" s="5">
        <f t="shared" si="37"/>
        <v>-62172</v>
      </c>
      <c r="Z15" s="5">
        <f t="shared" si="37"/>
        <v>-18357</v>
      </c>
      <c r="AA15" s="5">
        <f t="shared" si="38"/>
        <v>-8223</v>
      </c>
      <c r="AB15" s="5">
        <f t="shared" si="39"/>
        <v>-12534</v>
      </c>
      <c r="AC15" s="5">
        <f t="shared" si="39"/>
        <v>-26198</v>
      </c>
      <c r="AD15" s="5">
        <f t="shared" si="39"/>
        <v>-29013</v>
      </c>
      <c r="AE15" s="5">
        <f t="shared" si="40"/>
        <v>-46617</v>
      </c>
      <c r="AF15" s="5">
        <f t="shared" si="41"/>
        <v>-39984</v>
      </c>
      <c r="AG15" s="5">
        <f t="shared" si="41"/>
        <v>-32641</v>
      </c>
      <c r="AH15" s="5">
        <f t="shared" si="41"/>
        <v>-59626</v>
      </c>
      <c r="AI15" s="5">
        <f t="shared" si="42"/>
        <v>33320</v>
      </c>
      <c r="AK15" s="15"/>
      <c r="AL15" s="15"/>
    </row>
    <row r="16" spans="1:38">
      <c r="A16" s="49" t="s">
        <v>3</v>
      </c>
      <c r="B16" s="44" t="s">
        <v>203</v>
      </c>
      <c r="C16" s="5">
        <v>25458</v>
      </c>
      <c r="D16" s="5">
        <f t="shared" si="29"/>
        <v>10980</v>
      </c>
      <c r="E16" s="5">
        <f t="shared" si="29"/>
        <v>20924</v>
      </c>
      <c r="F16" s="5">
        <f t="shared" si="29"/>
        <v>12547</v>
      </c>
      <c r="G16" s="5">
        <v>13733</v>
      </c>
      <c r="H16" s="5">
        <f t="shared" si="30"/>
        <v>11158</v>
      </c>
      <c r="I16" s="5">
        <f t="shared" si="30"/>
        <v>9742</v>
      </c>
      <c r="J16" s="5">
        <f t="shared" si="30"/>
        <v>16077</v>
      </c>
      <c r="K16" s="5">
        <f t="shared" si="31"/>
        <v>39518</v>
      </c>
      <c r="L16" s="5">
        <f t="shared" si="32"/>
        <v>12147</v>
      </c>
      <c r="M16" s="5">
        <f t="shared" si="32"/>
        <v>28466</v>
      </c>
      <c r="N16" s="5">
        <f t="shared" si="32"/>
        <v>17451</v>
      </c>
      <c r="O16" s="5">
        <f t="shared" si="33"/>
        <v>12593</v>
      </c>
      <c r="P16" s="5">
        <f t="shared" si="34"/>
        <v>52084</v>
      </c>
      <c r="Q16" s="5">
        <f t="shared" si="34"/>
        <v>23898</v>
      </c>
      <c r="R16" s="5">
        <f t="shared" si="34"/>
        <v>72191</v>
      </c>
      <c r="S16" s="5">
        <f t="shared" si="35"/>
        <v>43636</v>
      </c>
      <c r="T16" s="5">
        <f t="shared" si="4"/>
        <v>72804</v>
      </c>
      <c r="U16" s="5">
        <f t="shared" si="4"/>
        <v>94249</v>
      </c>
      <c r="V16" s="5">
        <f t="shared" si="4"/>
        <v>106606</v>
      </c>
      <c r="W16" s="5">
        <f t="shared" si="36"/>
        <v>73597</v>
      </c>
      <c r="X16" s="5">
        <f t="shared" si="37"/>
        <v>67381</v>
      </c>
      <c r="Y16" s="5">
        <f t="shared" si="37"/>
        <v>69723</v>
      </c>
      <c r="Z16" s="5">
        <f t="shared" si="37"/>
        <v>65544</v>
      </c>
      <c r="AA16" s="5">
        <f t="shared" si="38"/>
        <v>116108</v>
      </c>
      <c r="AB16" s="5">
        <f t="shared" si="39"/>
        <v>68488</v>
      </c>
      <c r="AC16" s="5">
        <f t="shared" si="39"/>
        <v>131178</v>
      </c>
      <c r="AD16" s="5">
        <f t="shared" si="39"/>
        <v>143208</v>
      </c>
      <c r="AE16" s="5">
        <f t="shared" si="40"/>
        <v>67831</v>
      </c>
      <c r="AF16" s="5">
        <f t="shared" si="41"/>
        <v>101847</v>
      </c>
      <c r="AG16" s="5">
        <f t="shared" si="41"/>
        <v>106280</v>
      </c>
      <c r="AH16" s="5">
        <f t="shared" si="41"/>
        <v>98238</v>
      </c>
      <c r="AI16" s="5">
        <f t="shared" si="42"/>
        <v>62773</v>
      </c>
      <c r="AK16" s="15"/>
      <c r="AL16" s="15"/>
    </row>
    <row r="17" spans="1:38">
      <c r="A17" s="49" t="s">
        <v>6</v>
      </c>
      <c r="B17" s="44" t="s">
        <v>204</v>
      </c>
      <c r="C17" s="5">
        <v>-15466</v>
      </c>
      <c r="D17" s="5">
        <f t="shared" si="29"/>
        <v>-13042</v>
      </c>
      <c r="E17" s="5">
        <f t="shared" si="29"/>
        <v>-20092</v>
      </c>
      <c r="F17" s="5">
        <f t="shared" si="29"/>
        <v>-29350</v>
      </c>
      <c r="G17" s="5">
        <v>-10986</v>
      </c>
      <c r="H17" s="5">
        <f t="shared" si="30"/>
        <v>-13072</v>
      </c>
      <c r="I17" s="5">
        <f t="shared" si="30"/>
        <v>-10288</v>
      </c>
      <c r="J17" s="5">
        <f t="shared" si="30"/>
        <v>-15682</v>
      </c>
      <c r="K17" s="5">
        <f t="shared" si="31"/>
        <v>-16106</v>
      </c>
      <c r="L17" s="5">
        <f t="shared" si="32"/>
        <v>-14813</v>
      </c>
      <c r="M17" s="5">
        <f t="shared" si="32"/>
        <v>-54350</v>
      </c>
      <c r="N17" s="5">
        <f t="shared" si="32"/>
        <v>-18720</v>
      </c>
      <c r="O17" s="5">
        <f t="shared" si="33"/>
        <v>-25060</v>
      </c>
      <c r="P17" s="5">
        <f t="shared" si="34"/>
        <v>-90742</v>
      </c>
      <c r="Q17" s="5">
        <f t="shared" si="34"/>
        <v>-21112</v>
      </c>
      <c r="R17" s="5">
        <f t="shared" si="34"/>
        <v>-112146</v>
      </c>
      <c r="S17" s="5">
        <f t="shared" si="35"/>
        <v>-29020</v>
      </c>
      <c r="T17" s="5">
        <f t="shared" si="4"/>
        <v>-23652</v>
      </c>
      <c r="U17" s="5">
        <f t="shared" si="4"/>
        <v>-27197</v>
      </c>
      <c r="V17" s="5">
        <f t="shared" si="4"/>
        <v>-159641</v>
      </c>
      <c r="W17" s="5">
        <f t="shared" si="36"/>
        <v>-35328</v>
      </c>
      <c r="X17" s="5">
        <f t="shared" si="37"/>
        <v>-42579</v>
      </c>
      <c r="Y17" s="5">
        <f t="shared" si="37"/>
        <v>-58396</v>
      </c>
      <c r="Z17" s="5">
        <f t="shared" si="37"/>
        <v>-80417</v>
      </c>
      <c r="AA17" s="5">
        <f t="shared" si="38"/>
        <v>-72187</v>
      </c>
      <c r="AB17" s="5">
        <f t="shared" si="39"/>
        <v>-74719</v>
      </c>
      <c r="AC17" s="5">
        <f t="shared" si="39"/>
        <v>-81826</v>
      </c>
      <c r="AD17" s="5">
        <f t="shared" si="39"/>
        <v>-72882</v>
      </c>
      <c r="AE17" s="5">
        <f t="shared" si="40"/>
        <v>-165238</v>
      </c>
      <c r="AF17" s="5">
        <f t="shared" si="41"/>
        <v>-104363</v>
      </c>
      <c r="AG17" s="5">
        <f t="shared" si="41"/>
        <v>-104472</v>
      </c>
      <c r="AH17" s="5">
        <f t="shared" si="41"/>
        <v>-146252</v>
      </c>
      <c r="AI17" s="5">
        <f t="shared" si="42"/>
        <v>-89332</v>
      </c>
      <c r="AK17" s="15"/>
      <c r="AL17" s="15"/>
    </row>
    <row r="18" spans="1:38">
      <c r="A18" s="101" t="s">
        <v>249</v>
      </c>
      <c r="B18" s="46" t="s">
        <v>248</v>
      </c>
      <c r="C18" s="6">
        <f t="shared" ref="C18:J18" si="43">SUM(C9:C17,C6)</f>
        <v>622865</v>
      </c>
      <c r="D18" s="6">
        <f t="shared" si="43"/>
        <v>634914</v>
      </c>
      <c r="E18" s="6">
        <f t="shared" si="43"/>
        <v>657624</v>
      </c>
      <c r="F18" s="6">
        <f t="shared" si="43"/>
        <v>656198</v>
      </c>
      <c r="G18" s="6">
        <f t="shared" si="43"/>
        <v>656427</v>
      </c>
      <c r="H18" s="6">
        <f t="shared" si="43"/>
        <v>668879</v>
      </c>
      <c r="I18" s="6">
        <f t="shared" si="43"/>
        <v>689591</v>
      </c>
      <c r="J18" s="6">
        <f t="shared" si="43"/>
        <v>712740</v>
      </c>
      <c r="K18" s="6">
        <f t="shared" ref="K18:AG18" si="44">SUM(K9:K17,K6)</f>
        <v>740836</v>
      </c>
      <c r="L18" s="6">
        <f t="shared" si="44"/>
        <v>822605.37461358006</v>
      </c>
      <c r="M18" s="6">
        <f t="shared" si="44"/>
        <v>953937.62538641994</v>
      </c>
      <c r="N18" s="6">
        <f t="shared" si="44"/>
        <v>954144</v>
      </c>
      <c r="O18" s="6">
        <f t="shared" si="44"/>
        <v>920727</v>
      </c>
      <c r="P18" s="6">
        <f t="shared" si="44"/>
        <v>860315</v>
      </c>
      <c r="Q18" s="6">
        <f t="shared" si="44"/>
        <v>887248.68714000005</v>
      </c>
      <c r="R18" s="6">
        <f t="shared" si="44"/>
        <v>909485.66165999998</v>
      </c>
      <c r="S18" s="6">
        <f t="shared" si="44"/>
        <v>866960</v>
      </c>
      <c r="T18" s="6">
        <f t="shared" si="44"/>
        <v>922485</v>
      </c>
      <c r="U18" s="6">
        <f t="shared" si="44"/>
        <v>845590</v>
      </c>
      <c r="V18" s="6">
        <f t="shared" si="44"/>
        <v>923112</v>
      </c>
      <c r="W18" s="6">
        <f t="shared" si="44"/>
        <v>1159903</v>
      </c>
      <c r="X18" s="6">
        <f t="shared" si="44"/>
        <v>1336836</v>
      </c>
      <c r="Y18" s="6">
        <f t="shared" si="44"/>
        <v>-18050</v>
      </c>
      <c r="Z18" s="6">
        <f t="shared" si="44"/>
        <v>1529829</v>
      </c>
      <c r="AA18" s="6">
        <f t="shared" si="44"/>
        <v>2057211</v>
      </c>
      <c r="AB18" s="6">
        <f t="shared" si="44"/>
        <v>1516645</v>
      </c>
      <c r="AC18" s="6">
        <f t="shared" si="44"/>
        <v>1581982</v>
      </c>
      <c r="AD18" s="6">
        <f t="shared" si="44"/>
        <v>1566686</v>
      </c>
      <c r="AE18" s="6">
        <f t="shared" si="44"/>
        <v>1416660</v>
      </c>
      <c r="AF18" s="6">
        <f t="shared" si="44"/>
        <v>1323977</v>
      </c>
      <c r="AG18" s="6">
        <f t="shared" si="44"/>
        <v>1660198</v>
      </c>
      <c r="AH18" s="6">
        <f t="shared" ref="AH18:AI18" si="45">SUM(AH9:AH17,AH6)</f>
        <v>1595181</v>
      </c>
      <c r="AI18" s="6">
        <f t="shared" si="45"/>
        <v>1626036</v>
      </c>
      <c r="AK18" s="15"/>
      <c r="AL18" s="15"/>
    </row>
    <row r="19" spans="1:38">
      <c r="A19" s="49" t="s">
        <v>382</v>
      </c>
      <c r="B19" s="44" t="s">
        <v>206</v>
      </c>
      <c r="C19" s="5">
        <v>-301331</v>
      </c>
      <c r="D19" s="5">
        <f t="shared" ref="D19:F20" si="46">+D57-C57</f>
        <v>-279478</v>
      </c>
      <c r="E19" s="5">
        <f t="shared" si="46"/>
        <v>-277520</v>
      </c>
      <c r="F19" s="5">
        <f t="shared" si="46"/>
        <v>-291394</v>
      </c>
      <c r="G19" s="5">
        <v>-316822</v>
      </c>
      <c r="H19" s="5">
        <f t="shared" ref="H19:J20" si="47">+H57-G57</f>
        <v>-288781</v>
      </c>
      <c r="I19" s="5">
        <f t="shared" si="47"/>
        <v>-302770</v>
      </c>
      <c r="J19" s="5">
        <f t="shared" si="47"/>
        <v>-305392</v>
      </c>
      <c r="K19" s="5">
        <f>+K57</f>
        <v>-351056</v>
      </c>
      <c r="L19" s="5">
        <f t="shared" ref="L19:N20" si="48">+L57-K57</f>
        <v>-331932</v>
      </c>
      <c r="M19" s="5">
        <f t="shared" si="48"/>
        <v>-426448</v>
      </c>
      <c r="N19" s="5">
        <f t="shared" si="48"/>
        <v>-435747</v>
      </c>
      <c r="O19" s="5">
        <f>+O57</f>
        <v>-464566</v>
      </c>
      <c r="P19" s="5">
        <f t="shared" ref="P19:R20" si="49">+P57-O57</f>
        <v>-351246</v>
      </c>
      <c r="Q19" s="5">
        <f t="shared" si="49"/>
        <v>-360348</v>
      </c>
      <c r="R19" s="5">
        <f t="shared" si="49"/>
        <v>-366219</v>
      </c>
      <c r="S19" s="5">
        <f>+S57</f>
        <v>-375885</v>
      </c>
      <c r="T19" s="5">
        <f t="shared" si="4"/>
        <v>-329304</v>
      </c>
      <c r="U19" s="5">
        <f t="shared" si="4"/>
        <v>-352116</v>
      </c>
      <c r="V19" s="5">
        <f t="shared" si="4"/>
        <v>-383401</v>
      </c>
      <c r="W19" s="5">
        <f t="shared" ref="W19:W20" si="50">+W57</f>
        <v>-434626</v>
      </c>
      <c r="X19" s="5">
        <f t="shared" ref="X19:Z20" si="51">+X57-W57</f>
        <v>-624203</v>
      </c>
      <c r="Y19" s="5">
        <f t="shared" si="51"/>
        <v>-409328</v>
      </c>
      <c r="Z19" s="5">
        <f t="shared" si="51"/>
        <v>-416102</v>
      </c>
      <c r="AA19" s="5">
        <f t="shared" ref="AA19:AA20" si="52">+AA57</f>
        <v>-469294</v>
      </c>
      <c r="AB19" s="5">
        <f t="shared" ref="AB19:AD20" si="53">+AB57-AA57</f>
        <v>-395235</v>
      </c>
      <c r="AC19" s="5">
        <f t="shared" si="53"/>
        <v>-440574</v>
      </c>
      <c r="AD19" s="5">
        <f t="shared" si="53"/>
        <v>-476336</v>
      </c>
      <c r="AE19" s="5">
        <f t="shared" ref="AE19:AE20" si="54">+AE57</f>
        <v>-544039</v>
      </c>
      <c r="AF19" s="5">
        <f t="shared" ref="AF19:AH20" si="55">+AF57-AE57</f>
        <v>-449713</v>
      </c>
      <c r="AG19" s="5">
        <f t="shared" si="55"/>
        <v>-495641</v>
      </c>
      <c r="AH19" s="5">
        <f t="shared" si="55"/>
        <v>-537051</v>
      </c>
      <c r="AI19" s="5">
        <f t="shared" ref="AI19:AI20" si="56">+AI57</f>
        <v>-611257</v>
      </c>
    </row>
    <row r="20" spans="1:38">
      <c r="A20" s="49" t="s">
        <v>207</v>
      </c>
      <c r="B20" s="44" t="s">
        <v>208</v>
      </c>
      <c r="C20" s="7">
        <v>-13119</v>
      </c>
      <c r="D20" s="7">
        <f t="shared" si="46"/>
        <v>-13740</v>
      </c>
      <c r="E20" s="7">
        <f t="shared" si="46"/>
        <v>-12995</v>
      </c>
      <c r="F20" s="7">
        <f t="shared" si="46"/>
        <v>-13117</v>
      </c>
      <c r="G20" s="7">
        <v>-13409</v>
      </c>
      <c r="H20" s="7">
        <f t="shared" si="47"/>
        <v>-13206</v>
      </c>
      <c r="I20" s="7">
        <f t="shared" si="47"/>
        <v>-13254</v>
      </c>
      <c r="J20" s="7">
        <f t="shared" si="47"/>
        <v>-14358</v>
      </c>
      <c r="K20" s="7">
        <f>+K58</f>
        <v>-33412</v>
      </c>
      <c r="L20" s="7">
        <f t="shared" si="48"/>
        <v>-39627</v>
      </c>
      <c r="M20" s="7">
        <f t="shared" si="48"/>
        <v>-53622</v>
      </c>
      <c r="N20" s="7">
        <f t="shared" si="48"/>
        <v>-54211</v>
      </c>
      <c r="O20" s="7">
        <f>+O58</f>
        <v>-53340</v>
      </c>
      <c r="P20" s="7">
        <f t="shared" si="49"/>
        <v>-53873</v>
      </c>
      <c r="Q20" s="7">
        <f t="shared" si="49"/>
        <v>-51743</v>
      </c>
      <c r="R20" s="7">
        <f t="shared" si="49"/>
        <v>-51455</v>
      </c>
      <c r="S20" s="7">
        <f>+S58</f>
        <v>-51448</v>
      </c>
      <c r="T20" s="7">
        <f t="shared" ref="T20:V20" si="57">+T58-S58</f>
        <v>-49227</v>
      </c>
      <c r="U20" s="7">
        <f t="shared" si="57"/>
        <v>-50195</v>
      </c>
      <c r="V20" s="7">
        <f t="shared" si="57"/>
        <v>-50725</v>
      </c>
      <c r="W20" s="7">
        <f t="shared" si="50"/>
        <v>-51602</v>
      </c>
      <c r="X20" s="7">
        <f t="shared" si="51"/>
        <v>-52625</v>
      </c>
      <c r="Y20" s="7">
        <f t="shared" si="51"/>
        <v>-52219</v>
      </c>
      <c r="Z20" s="7">
        <f t="shared" si="51"/>
        <v>-52476</v>
      </c>
      <c r="AA20" s="7">
        <f t="shared" si="52"/>
        <v>-52521</v>
      </c>
      <c r="AB20" s="7">
        <f t="shared" si="53"/>
        <v>-52925</v>
      </c>
      <c r="AC20" s="7">
        <f t="shared" si="53"/>
        <v>-53238</v>
      </c>
      <c r="AD20" s="7">
        <f t="shared" si="53"/>
        <v>-52833</v>
      </c>
      <c r="AE20" s="7">
        <f t="shared" si="54"/>
        <v>-54291</v>
      </c>
      <c r="AF20" s="7">
        <f t="shared" si="55"/>
        <v>-55218</v>
      </c>
      <c r="AG20" s="7">
        <f t="shared" si="55"/>
        <v>-57492</v>
      </c>
      <c r="AH20" s="7">
        <f t="shared" si="55"/>
        <v>-59190</v>
      </c>
      <c r="AI20" s="7">
        <f t="shared" si="56"/>
        <v>-56695</v>
      </c>
      <c r="AK20" s="15"/>
      <c r="AL20" s="15"/>
    </row>
    <row r="21" spans="1:38">
      <c r="A21" s="101" t="s">
        <v>250</v>
      </c>
      <c r="B21" s="46" t="s">
        <v>251</v>
      </c>
      <c r="C21" s="6">
        <f t="shared" ref="C21:M21" si="58">SUM(C19:C20)</f>
        <v>-314450</v>
      </c>
      <c r="D21" s="6">
        <f t="shared" si="58"/>
        <v>-293218</v>
      </c>
      <c r="E21" s="6">
        <f t="shared" si="58"/>
        <v>-290515</v>
      </c>
      <c r="F21" s="6">
        <f t="shared" si="58"/>
        <v>-304511</v>
      </c>
      <c r="G21" s="6">
        <f t="shared" si="58"/>
        <v>-330231</v>
      </c>
      <c r="H21" s="6">
        <f t="shared" si="58"/>
        <v>-301987</v>
      </c>
      <c r="I21" s="6">
        <f t="shared" si="58"/>
        <v>-316024</v>
      </c>
      <c r="J21" s="6">
        <f t="shared" si="58"/>
        <v>-319750</v>
      </c>
      <c r="K21" s="6">
        <f t="shared" si="58"/>
        <v>-384468</v>
      </c>
      <c r="L21" s="6">
        <f t="shared" si="58"/>
        <v>-371559</v>
      </c>
      <c r="M21" s="6">
        <f t="shared" si="58"/>
        <v>-480070</v>
      </c>
      <c r="N21" s="6">
        <f>SUM(N19:N20)</f>
        <v>-489958</v>
      </c>
      <c r="O21" s="6">
        <f t="shared" ref="O21:AG21" si="59">SUM(O19:O20)</f>
        <v>-517906</v>
      </c>
      <c r="P21" s="6">
        <f t="shared" si="59"/>
        <v>-405119</v>
      </c>
      <c r="Q21" s="6">
        <f t="shared" si="59"/>
        <v>-412091</v>
      </c>
      <c r="R21" s="6">
        <f t="shared" si="59"/>
        <v>-417674</v>
      </c>
      <c r="S21" s="6">
        <f t="shared" si="59"/>
        <v>-427333</v>
      </c>
      <c r="T21" s="6">
        <f t="shared" si="59"/>
        <v>-378531</v>
      </c>
      <c r="U21" s="6">
        <f t="shared" si="59"/>
        <v>-402311</v>
      </c>
      <c r="V21" s="6">
        <f t="shared" si="59"/>
        <v>-434126</v>
      </c>
      <c r="W21" s="6">
        <f t="shared" si="59"/>
        <v>-486228</v>
      </c>
      <c r="X21" s="6">
        <f t="shared" si="59"/>
        <v>-676828</v>
      </c>
      <c r="Y21" s="6">
        <f t="shared" si="59"/>
        <v>-461547</v>
      </c>
      <c r="Z21" s="6">
        <f t="shared" si="59"/>
        <v>-468578</v>
      </c>
      <c r="AA21" s="6">
        <f t="shared" si="59"/>
        <v>-521815</v>
      </c>
      <c r="AB21" s="6">
        <f t="shared" si="59"/>
        <v>-448160</v>
      </c>
      <c r="AC21" s="6">
        <f t="shared" si="59"/>
        <v>-493812</v>
      </c>
      <c r="AD21" s="6">
        <f t="shared" si="59"/>
        <v>-529169</v>
      </c>
      <c r="AE21" s="6">
        <f t="shared" si="59"/>
        <v>-598330</v>
      </c>
      <c r="AF21" s="6">
        <f t="shared" si="59"/>
        <v>-504931</v>
      </c>
      <c r="AG21" s="6">
        <f t="shared" si="59"/>
        <v>-553133</v>
      </c>
      <c r="AH21" s="6">
        <f t="shared" ref="AH21:AI21" si="60">SUM(AH19:AH20)</f>
        <v>-596241</v>
      </c>
      <c r="AI21" s="6">
        <f t="shared" si="60"/>
        <v>-667952</v>
      </c>
      <c r="AK21" s="15"/>
      <c r="AL21" s="15"/>
    </row>
    <row r="22" spans="1:38">
      <c r="A22" s="49" t="s">
        <v>4</v>
      </c>
      <c r="B22" s="44" t="s">
        <v>64</v>
      </c>
      <c r="C22" s="5">
        <v>-59501</v>
      </c>
      <c r="D22" s="5">
        <f>+D60-C60</f>
        <v>-62779</v>
      </c>
      <c r="E22" s="5">
        <f>+E60-D60</f>
        <v>-69176</v>
      </c>
      <c r="F22" s="5">
        <f>+F60-E60</f>
        <v>-62703</v>
      </c>
      <c r="G22" s="5">
        <v>-47651</v>
      </c>
      <c r="H22" s="5">
        <f>+H60-G60</f>
        <v>-50138</v>
      </c>
      <c r="I22" s="5">
        <f>+I60-H60</f>
        <v>-52046</v>
      </c>
      <c r="J22" s="5">
        <f>+J60-I60</f>
        <v>-52132</v>
      </c>
      <c r="K22" s="5">
        <f>+K60</f>
        <v>-63094</v>
      </c>
      <c r="L22" s="5">
        <f>+L60-K60</f>
        <v>-154086</v>
      </c>
      <c r="M22" s="5">
        <f>+M60-L60</f>
        <v>-124998</v>
      </c>
      <c r="N22" s="5">
        <f>+N60-M60</f>
        <v>-60565</v>
      </c>
      <c r="O22" s="5">
        <f>+O60</f>
        <v>-121565</v>
      </c>
      <c r="P22" s="5">
        <f t="shared" ref="P22:R25" si="61">+P60-O60</f>
        <v>-202069</v>
      </c>
      <c r="Q22" s="5">
        <f t="shared" si="61"/>
        <v>-142105</v>
      </c>
      <c r="R22" s="5">
        <f t="shared" si="61"/>
        <v>-91173</v>
      </c>
      <c r="S22" s="5">
        <f>+S60</f>
        <v>-74370</v>
      </c>
      <c r="T22" s="5">
        <f t="shared" ref="T22:V25" si="62">+T60-S60</f>
        <v>-41479</v>
      </c>
      <c r="U22" s="5">
        <f t="shared" si="62"/>
        <v>-125519</v>
      </c>
      <c r="V22" s="5">
        <f t="shared" si="62"/>
        <v>-77023</v>
      </c>
      <c r="W22" s="5">
        <f>+W60</f>
        <v>-78762</v>
      </c>
      <c r="X22" s="5">
        <f t="shared" ref="X22:Z25" si="63">+X60-W60</f>
        <v>-68813</v>
      </c>
      <c r="Y22" s="5">
        <f t="shared" si="63"/>
        <v>-114348</v>
      </c>
      <c r="Z22" s="5">
        <f t="shared" si="63"/>
        <v>-80110</v>
      </c>
      <c r="AA22" s="5">
        <f>+AA60</f>
        <v>-109375</v>
      </c>
      <c r="AB22" s="5">
        <f t="shared" ref="AB22:AD27" si="64">+AB60-AA60</f>
        <v>-42898</v>
      </c>
      <c r="AC22" s="5">
        <f t="shared" si="64"/>
        <v>-51611</v>
      </c>
      <c r="AD22" s="5">
        <f t="shared" si="64"/>
        <v>-58591</v>
      </c>
      <c r="AE22" s="5">
        <f>+AE60</f>
        <v>-110765</v>
      </c>
      <c r="AF22" s="5">
        <f t="shared" ref="AF22:AH27" si="65">+AF60-AE60</f>
        <v>-61565</v>
      </c>
      <c r="AG22" s="5">
        <f t="shared" si="65"/>
        <v>-105857</v>
      </c>
      <c r="AH22" s="5">
        <f t="shared" si="65"/>
        <v>7105</v>
      </c>
      <c r="AI22" s="5">
        <f>+AI60</f>
        <v>-78634</v>
      </c>
      <c r="AK22" s="15"/>
      <c r="AL22" s="15"/>
    </row>
    <row r="23" spans="1:38">
      <c r="A23" s="56" t="s">
        <v>403</v>
      </c>
      <c r="B23" s="56" t="s">
        <v>402</v>
      </c>
      <c r="C23" s="5"/>
      <c r="D23" s="5"/>
      <c r="E23" s="5"/>
      <c r="F23" s="5"/>
      <c r="G23" s="5"/>
      <c r="H23" s="5"/>
      <c r="I23" s="5"/>
      <c r="J23" s="5"/>
      <c r="K23" s="5">
        <v>0</v>
      </c>
      <c r="L23" s="5">
        <v>0</v>
      </c>
      <c r="M23" s="5">
        <v>0</v>
      </c>
      <c r="N23" s="5">
        <v>0</v>
      </c>
      <c r="O23" s="5">
        <f>+O61</f>
        <v>-60000</v>
      </c>
      <c r="P23" s="5">
        <f t="shared" si="61"/>
        <v>60000</v>
      </c>
      <c r="Q23" s="5">
        <f t="shared" si="61"/>
        <v>0</v>
      </c>
      <c r="R23" s="5">
        <f t="shared" si="61"/>
        <v>0</v>
      </c>
      <c r="S23" s="5">
        <f>+S61</f>
        <v>0</v>
      </c>
      <c r="T23" s="5">
        <f t="shared" si="62"/>
        <v>0</v>
      </c>
      <c r="U23" s="5">
        <f t="shared" si="62"/>
        <v>0</v>
      </c>
      <c r="V23" s="5">
        <f t="shared" si="62"/>
        <v>0</v>
      </c>
      <c r="W23" s="5">
        <f>+W61</f>
        <v>0</v>
      </c>
      <c r="X23" s="5">
        <f t="shared" si="63"/>
        <v>0</v>
      </c>
      <c r="Y23" s="5">
        <f t="shared" si="63"/>
        <v>0</v>
      </c>
      <c r="Z23" s="5">
        <f t="shared" si="63"/>
        <v>0</v>
      </c>
      <c r="AA23" s="5">
        <f>+AA61</f>
        <v>0</v>
      </c>
      <c r="AB23" s="5">
        <f t="shared" si="64"/>
        <v>0</v>
      </c>
      <c r="AC23" s="5">
        <f t="shared" si="64"/>
        <v>0</v>
      </c>
      <c r="AD23" s="5">
        <f t="shared" si="64"/>
        <v>0</v>
      </c>
      <c r="AE23" s="5">
        <f>+AE61</f>
        <v>0</v>
      </c>
      <c r="AF23" s="5">
        <f t="shared" si="65"/>
        <v>0</v>
      </c>
      <c r="AG23" s="5">
        <f t="shared" si="65"/>
        <v>0</v>
      </c>
      <c r="AH23" s="5">
        <f t="shared" si="65"/>
        <v>0</v>
      </c>
      <c r="AI23" s="5">
        <f>+AI61</f>
        <v>0</v>
      </c>
      <c r="AK23" s="15"/>
      <c r="AL23" s="15"/>
    </row>
    <row r="24" spans="1:38">
      <c r="A24" s="49" t="s">
        <v>5</v>
      </c>
      <c r="B24" s="44" t="s">
        <v>65</v>
      </c>
      <c r="C24" s="5">
        <v>-230</v>
      </c>
      <c r="D24" s="5">
        <f>+D62-C62</f>
        <v>-191</v>
      </c>
      <c r="E24" s="5">
        <f>+E62-D62</f>
        <v>-522</v>
      </c>
      <c r="F24" s="5">
        <f>+F62-E62</f>
        <v>-256</v>
      </c>
      <c r="G24" s="5">
        <v>-38</v>
      </c>
      <c r="H24" s="5">
        <f>+H62-G62</f>
        <v>12</v>
      </c>
      <c r="I24" s="5">
        <f>+I62-H62</f>
        <v>-794</v>
      </c>
      <c r="J24" s="5">
        <f>+J62-I62</f>
        <v>311</v>
      </c>
      <c r="K24" s="5">
        <f>+K62</f>
        <v>-647</v>
      </c>
      <c r="L24" s="5">
        <f>+L62-K62</f>
        <v>-653</v>
      </c>
      <c r="M24" s="5">
        <f>+M62-L62</f>
        <v>-1005</v>
      </c>
      <c r="N24" s="5">
        <f>+N62-M62</f>
        <v>1112</v>
      </c>
      <c r="O24" s="5">
        <f>+O62</f>
        <v>-1764</v>
      </c>
      <c r="P24" s="5">
        <f t="shared" si="61"/>
        <v>-2827</v>
      </c>
      <c r="Q24" s="5">
        <f t="shared" si="61"/>
        <v>-587</v>
      </c>
      <c r="R24" s="5">
        <f t="shared" si="61"/>
        <v>-2712</v>
      </c>
      <c r="S24" s="5">
        <f>+S62</f>
        <v>-2377</v>
      </c>
      <c r="T24" s="5">
        <f t="shared" si="62"/>
        <v>-2562</v>
      </c>
      <c r="U24" s="5">
        <f t="shared" si="62"/>
        <v>-448</v>
      </c>
      <c r="V24" s="5">
        <f t="shared" si="62"/>
        <v>-2285</v>
      </c>
      <c r="W24" s="5">
        <f>+W62</f>
        <v>-2622</v>
      </c>
      <c r="X24" s="5">
        <f t="shared" si="63"/>
        <v>-347</v>
      </c>
      <c r="Y24" s="5">
        <f t="shared" si="63"/>
        <v>224</v>
      </c>
      <c r="Z24" s="5">
        <f t="shared" si="63"/>
        <v>-770</v>
      </c>
      <c r="AA24" s="5">
        <f>+AA62</f>
        <v>1733</v>
      </c>
      <c r="AB24" s="5">
        <f t="shared" si="64"/>
        <v>-1503</v>
      </c>
      <c r="AC24" s="5">
        <f t="shared" si="64"/>
        <v>-283</v>
      </c>
      <c r="AD24" s="5">
        <f t="shared" si="64"/>
        <v>-31</v>
      </c>
      <c r="AE24" s="5">
        <f>+AE62</f>
        <v>-1885</v>
      </c>
      <c r="AF24" s="5">
        <f t="shared" si="65"/>
        <v>-211</v>
      </c>
      <c r="AG24" s="5">
        <f t="shared" si="65"/>
        <v>-2257</v>
      </c>
      <c r="AH24" s="5">
        <f t="shared" si="65"/>
        <v>79</v>
      </c>
      <c r="AI24" s="5">
        <f>+AI62</f>
        <v>-960</v>
      </c>
      <c r="AK24" s="15"/>
      <c r="AL24" s="15"/>
    </row>
    <row r="25" spans="1:38" ht="32.25" customHeight="1">
      <c r="A25" s="49" t="s">
        <v>328</v>
      </c>
      <c r="B25" s="44" t="s">
        <v>327</v>
      </c>
      <c r="C25" s="5"/>
      <c r="D25" s="5"/>
      <c r="E25" s="5"/>
      <c r="F25" s="5"/>
      <c r="G25" s="5"/>
      <c r="H25" s="5"/>
      <c r="I25" s="5"/>
      <c r="J25" s="5"/>
      <c r="K25" s="5">
        <v>0</v>
      </c>
      <c r="L25" s="5">
        <v>0</v>
      </c>
      <c r="M25" s="5">
        <v>0</v>
      </c>
      <c r="N25" s="5">
        <f>+N63-M63</f>
        <v>-223134</v>
      </c>
      <c r="O25" s="5">
        <f>+O63</f>
        <v>-55325</v>
      </c>
      <c r="P25" s="5">
        <f t="shared" si="61"/>
        <v>-112694</v>
      </c>
      <c r="Q25" s="5">
        <f t="shared" si="61"/>
        <v>-129654</v>
      </c>
      <c r="R25" s="5">
        <f t="shared" si="61"/>
        <v>-415944</v>
      </c>
      <c r="S25" s="5">
        <f>+S63</f>
        <v>-533403</v>
      </c>
      <c r="T25" s="5">
        <f t="shared" si="62"/>
        <v>-513641</v>
      </c>
      <c r="U25" s="5">
        <f t="shared" si="62"/>
        <v>-526113</v>
      </c>
      <c r="V25" s="5">
        <f t="shared" si="62"/>
        <v>-732000</v>
      </c>
      <c r="W25" s="5">
        <f>+W63</f>
        <v>-499180</v>
      </c>
      <c r="X25" s="5">
        <f t="shared" si="63"/>
        <v>-515450</v>
      </c>
      <c r="Y25" s="5">
        <f t="shared" si="63"/>
        <v>-498150</v>
      </c>
      <c r="Z25" s="5">
        <f t="shared" si="63"/>
        <v>-504540</v>
      </c>
      <c r="AA25" s="5">
        <f>+AA63</f>
        <v>-863650</v>
      </c>
      <c r="AB25" s="5">
        <f t="shared" si="64"/>
        <v>-756970</v>
      </c>
      <c r="AC25" s="5">
        <f t="shared" si="64"/>
        <v>-743180</v>
      </c>
      <c r="AD25" s="5">
        <f t="shared" si="64"/>
        <v>-701580</v>
      </c>
      <c r="AE25" s="5">
        <f>+AE63</f>
        <v>-548810</v>
      </c>
      <c r="AF25" s="5">
        <f t="shared" si="65"/>
        <v>-574780</v>
      </c>
      <c r="AG25" s="5">
        <f t="shared" si="65"/>
        <v>-532800</v>
      </c>
      <c r="AH25" s="5">
        <f t="shared" si="65"/>
        <v>-522680</v>
      </c>
      <c r="AI25" s="5">
        <f>+AI63</f>
        <v>-444790</v>
      </c>
      <c r="AK25" s="15"/>
      <c r="AL25" s="15"/>
    </row>
    <row r="26" spans="1:38">
      <c r="A26" s="49" t="s">
        <v>209</v>
      </c>
      <c r="B26" s="44" t="s">
        <v>210</v>
      </c>
      <c r="C26" s="5">
        <v>0</v>
      </c>
      <c r="D26" s="5">
        <f t="shared" ref="D26:F27" si="66">+D64-C64</f>
        <v>0</v>
      </c>
      <c r="E26" s="5">
        <f t="shared" si="66"/>
        <v>0</v>
      </c>
      <c r="F26" s="5">
        <f t="shared" si="66"/>
        <v>0</v>
      </c>
      <c r="G26" s="5">
        <v>-4299</v>
      </c>
      <c r="H26" s="5">
        <f t="shared" ref="H26:J27" si="67">+H64-G64</f>
        <v>-3064</v>
      </c>
      <c r="I26" s="5">
        <f t="shared" si="67"/>
        <v>-2824</v>
      </c>
      <c r="J26" s="5">
        <f t="shared" si="67"/>
        <v>-3970</v>
      </c>
      <c r="K26" s="5">
        <f>+K64</f>
        <v>-3666</v>
      </c>
      <c r="L26" s="5">
        <f t="shared" ref="L26:N27" si="68">+L64-K64</f>
        <v>-2969</v>
      </c>
      <c r="M26" s="5">
        <f t="shared" si="68"/>
        <v>-2552</v>
      </c>
      <c r="N26" s="5">
        <f t="shared" si="68"/>
        <v>-2476</v>
      </c>
      <c r="O26" s="5">
        <f t="shared" ref="O26:O27" si="69">+O64</f>
        <v>-1949</v>
      </c>
      <c r="P26" s="5">
        <f t="shared" ref="P26:R27" si="70">+P64-O64</f>
        <v>-6283</v>
      </c>
      <c r="Q26" s="5">
        <f t="shared" si="70"/>
        <v>-1858</v>
      </c>
      <c r="R26" s="5">
        <f t="shared" si="70"/>
        <v>-3475</v>
      </c>
      <c r="S26" s="5">
        <f t="shared" ref="S26:S27" si="71">+S64</f>
        <v>-3545</v>
      </c>
      <c r="T26" s="5">
        <f t="shared" ref="T26:V27" si="72">+T64-S64</f>
        <v>-3186</v>
      </c>
      <c r="U26" s="5">
        <f t="shared" si="72"/>
        <v>-2705</v>
      </c>
      <c r="V26" s="5">
        <f t="shared" si="72"/>
        <v>-3403</v>
      </c>
      <c r="W26" s="5">
        <f>+W64</f>
        <v>-3777</v>
      </c>
      <c r="X26" s="5">
        <f>+X64-W64</f>
        <v>-5027</v>
      </c>
      <c r="Y26" s="5">
        <f>+Y64-X64</f>
        <v>-56607</v>
      </c>
      <c r="Z26" s="5">
        <f>+Z64-Y64</f>
        <v>-61253</v>
      </c>
      <c r="AA26" s="5">
        <f>+AA64</f>
        <v>-27832</v>
      </c>
      <c r="AB26" s="5">
        <f t="shared" si="64"/>
        <v>-25718</v>
      </c>
      <c r="AC26" s="5">
        <f t="shared" si="64"/>
        <v>-14311</v>
      </c>
      <c r="AD26" s="5">
        <f t="shared" si="64"/>
        <v>-20323</v>
      </c>
      <c r="AE26" s="5">
        <f>+AE64</f>
        <v>-31283</v>
      </c>
      <c r="AF26" s="5">
        <f t="shared" si="65"/>
        <v>-30566</v>
      </c>
      <c r="AG26" s="5">
        <f t="shared" si="65"/>
        <v>-49575</v>
      </c>
      <c r="AH26" s="5">
        <f t="shared" si="65"/>
        <v>-70833</v>
      </c>
      <c r="AI26" s="5">
        <f>+AI64</f>
        <v>-17507</v>
      </c>
      <c r="AK26" s="15"/>
      <c r="AL26" s="15"/>
    </row>
    <row r="27" spans="1:38" ht="24">
      <c r="A27" s="49" t="s">
        <v>294</v>
      </c>
      <c r="B27" s="44" t="s">
        <v>295</v>
      </c>
      <c r="C27" s="5"/>
      <c r="D27" s="5">
        <f t="shared" si="66"/>
        <v>0</v>
      </c>
      <c r="E27" s="5">
        <f t="shared" si="66"/>
        <v>0</v>
      </c>
      <c r="F27" s="5">
        <f t="shared" si="66"/>
        <v>0</v>
      </c>
      <c r="G27" s="5">
        <v>-3136</v>
      </c>
      <c r="H27" s="5">
        <f t="shared" si="67"/>
        <v>-5066</v>
      </c>
      <c r="I27" s="5">
        <f t="shared" si="67"/>
        <v>-5116</v>
      </c>
      <c r="J27" s="5">
        <f t="shared" si="67"/>
        <v>-6612</v>
      </c>
      <c r="K27" s="5">
        <f>+K65</f>
        <v>-4929</v>
      </c>
      <c r="L27" s="5">
        <f t="shared" si="68"/>
        <v>-172</v>
      </c>
      <c r="M27" s="5">
        <f t="shared" si="68"/>
        <v>-7800</v>
      </c>
      <c r="N27" s="5">
        <f t="shared" si="68"/>
        <v>-10500</v>
      </c>
      <c r="O27" s="5">
        <f t="shared" si="69"/>
        <v>-11679</v>
      </c>
      <c r="P27" s="5">
        <f t="shared" si="70"/>
        <v>-14738</v>
      </c>
      <c r="Q27" s="5">
        <f t="shared" si="70"/>
        <v>-5754.6871400000018</v>
      </c>
      <c r="R27" s="5">
        <f t="shared" si="70"/>
        <v>-10748.661659999998</v>
      </c>
      <c r="S27" s="5">
        <f t="shared" si="71"/>
        <v>4079</v>
      </c>
      <c r="T27" s="5">
        <f t="shared" si="72"/>
        <v>-10070</v>
      </c>
      <c r="U27" s="5">
        <f t="shared" si="72"/>
        <v>45196</v>
      </c>
      <c r="V27" s="5">
        <f t="shared" si="72"/>
        <v>676</v>
      </c>
      <c r="W27" s="5">
        <f t="shared" ref="W27" si="73">+W65</f>
        <v>2081</v>
      </c>
      <c r="X27" s="5">
        <f t="shared" ref="X27" si="74">+X65-W65</f>
        <v>3489</v>
      </c>
      <c r="Y27" s="5">
        <f>+Y65-X65</f>
        <v>8059</v>
      </c>
      <c r="Z27" s="5">
        <f>+Z65-Y65</f>
        <v>-1126</v>
      </c>
      <c r="AA27" s="5">
        <f t="shared" ref="AA27" si="75">+AA65</f>
        <v>-2671</v>
      </c>
      <c r="AB27" s="5">
        <f t="shared" si="64"/>
        <v>429</v>
      </c>
      <c r="AC27" s="5">
        <f t="shared" si="64"/>
        <v>1970</v>
      </c>
      <c r="AD27" s="5">
        <f t="shared" si="64"/>
        <v>-686</v>
      </c>
      <c r="AE27" s="5">
        <f t="shared" ref="AE27" si="76">+AE65</f>
        <v>3706</v>
      </c>
      <c r="AF27" s="5">
        <f t="shared" si="65"/>
        <v>-120</v>
      </c>
      <c r="AG27" s="5">
        <f t="shared" si="65"/>
        <v>-413</v>
      </c>
      <c r="AH27" s="5">
        <f t="shared" si="65"/>
        <v>-2428</v>
      </c>
      <c r="AI27" s="5">
        <f t="shared" ref="AI27" si="77">+AI65</f>
        <v>179</v>
      </c>
      <c r="AK27" s="15"/>
      <c r="AL27" s="15"/>
    </row>
    <row r="28" spans="1:38">
      <c r="A28" s="101" t="s">
        <v>211</v>
      </c>
      <c r="B28" s="46" t="s">
        <v>66</v>
      </c>
      <c r="C28" s="6">
        <f t="shared" ref="C28:AG28" si="78">SUM(C22:C27,C21,C18)</f>
        <v>248684</v>
      </c>
      <c r="D28" s="6">
        <f t="shared" si="78"/>
        <v>278726</v>
      </c>
      <c r="E28" s="6">
        <f t="shared" si="78"/>
        <v>297411</v>
      </c>
      <c r="F28" s="6">
        <f t="shared" si="78"/>
        <v>288728</v>
      </c>
      <c r="G28" s="6">
        <f t="shared" si="78"/>
        <v>271072</v>
      </c>
      <c r="H28" s="6">
        <f t="shared" si="78"/>
        <v>308636</v>
      </c>
      <c r="I28" s="6">
        <f t="shared" si="78"/>
        <v>312787</v>
      </c>
      <c r="J28" s="6">
        <f t="shared" si="78"/>
        <v>330587</v>
      </c>
      <c r="K28" s="6">
        <f t="shared" si="78"/>
        <v>284032</v>
      </c>
      <c r="L28" s="6">
        <f t="shared" si="78"/>
        <v>293166.37461358006</v>
      </c>
      <c r="M28" s="6">
        <f t="shared" si="78"/>
        <v>337512.62538641994</v>
      </c>
      <c r="N28" s="6">
        <f t="shared" si="78"/>
        <v>168623</v>
      </c>
      <c r="O28" s="6">
        <f t="shared" si="78"/>
        <v>150539</v>
      </c>
      <c r="P28" s="6">
        <f t="shared" si="78"/>
        <v>176585</v>
      </c>
      <c r="Q28" s="6">
        <f t="shared" si="78"/>
        <v>195199</v>
      </c>
      <c r="R28" s="6">
        <f t="shared" si="78"/>
        <v>-32241</v>
      </c>
      <c r="S28" s="6">
        <f t="shared" si="78"/>
        <v>-169989</v>
      </c>
      <c r="T28" s="6">
        <f t="shared" si="78"/>
        <v>-26984</v>
      </c>
      <c r="U28" s="6">
        <f t="shared" si="78"/>
        <v>-166310</v>
      </c>
      <c r="V28" s="6">
        <f t="shared" si="78"/>
        <v>-325049</v>
      </c>
      <c r="W28" s="6">
        <f t="shared" si="78"/>
        <v>91415</v>
      </c>
      <c r="X28" s="6">
        <f t="shared" si="78"/>
        <v>73860</v>
      </c>
      <c r="Y28" s="6">
        <f t="shared" si="78"/>
        <v>-1140419</v>
      </c>
      <c r="Z28" s="6">
        <f t="shared" si="78"/>
        <v>413452</v>
      </c>
      <c r="AA28" s="6">
        <f t="shared" si="78"/>
        <v>533601</v>
      </c>
      <c r="AB28" s="6">
        <f t="shared" si="78"/>
        <v>241825</v>
      </c>
      <c r="AC28" s="6">
        <f t="shared" si="78"/>
        <v>280755</v>
      </c>
      <c r="AD28" s="6">
        <f t="shared" si="78"/>
        <v>256306</v>
      </c>
      <c r="AE28" s="6">
        <f t="shared" si="78"/>
        <v>129293</v>
      </c>
      <c r="AF28" s="6">
        <f t="shared" si="78"/>
        <v>151804</v>
      </c>
      <c r="AG28" s="6">
        <f t="shared" si="78"/>
        <v>416163</v>
      </c>
      <c r="AH28" s="6">
        <f t="shared" ref="AH28:AI28" si="79">SUM(AH22:AH27,AH21,AH18)</f>
        <v>410183</v>
      </c>
      <c r="AI28" s="6">
        <f t="shared" si="79"/>
        <v>416372</v>
      </c>
    </row>
    <row r="29" spans="1:38">
      <c r="A29" s="49" t="s">
        <v>212</v>
      </c>
      <c r="B29" s="44" t="s">
        <v>213</v>
      </c>
      <c r="C29" s="5">
        <v>0</v>
      </c>
      <c r="D29" s="5">
        <f t="shared" ref="D29:F30" si="80">+D67-C67</f>
        <v>0</v>
      </c>
      <c r="E29" s="5">
        <f t="shared" si="80"/>
        <v>0</v>
      </c>
      <c r="F29" s="5">
        <f t="shared" si="80"/>
        <v>0</v>
      </c>
      <c r="G29" s="5">
        <v>0</v>
      </c>
      <c r="H29" s="5">
        <f t="shared" ref="H29:J30" si="81">+H67-G67</f>
        <v>0</v>
      </c>
      <c r="I29" s="5">
        <f t="shared" si="81"/>
        <v>0</v>
      </c>
      <c r="J29" s="5">
        <f t="shared" si="81"/>
        <v>0</v>
      </c>
      <c r="K29" s="5">
        <f>+K67</f>
        <v>0</v>
      </c>
      <c r="L29" s="5">
        <f t="shared" ref="L29:N30" si="82">+L67-K67</f>
        <v>0</v>
      </c>
      <c r="M29" s="5">
        <f t="shared" si="82"/>
        <v>0</v>
      </c>
      <c r="N29" s="5">
        <f t="shared" si="82"/>
        <v>0</v>
      </c>
      <c r="O29" s="5">
        <f>+O67</f>
        <v>0</v>
      </c>
      <c r="P29" s="5">
        <f t="shared" ref="P29:R30" si="83">+P67-O67</f>
        <v>0</v>
      </c>
      <c r="Q29" s="5">
        <f t="shared" si="83"/>
        <v>0</v>
      </c>
      <c r="R29" s="5">
        <f t="shared" si="83"/>
        <v>0</v>
      </c>
      <c r="S29" s="5">
        <f>+S67</f>
        <v>0</v>
      </c>
      <c r="T29" s="5">
        <f t="shared" ref="T29:V30" si="84">+T67-S67</f>
        <v>0</v>
      </c>
      <c r="U29" s="5">
        <f t="shared" si="84"/>
        <v>0</v>
      </c>
      <c r="V29" s="5">
        <f t="shared" si="84"/>
        <v>0</v>
      </c>
      <c r="W29" s="5">
        <f t="shared" ref="W29:W30" si="85">+W67</f>
        <v>0</v>
      </c>
      <c r="X29" s="5">
        <f t="shared" ref="X29:Z30" si="86">+X67-W67</f>
        <v>0</v>
      </c>
      <c r="Y29" s="5">
        <f t="shared" si="86"/>
        <v>0</v>
      </c>
      <c r="Z29" s="5">
        <f t="shared" si="86"/>
        <v>0</v>
      </c>
      <c r="AA29" s="5">
        <f t="shared" ref="AA29:AA30" si="87">+AA67</f>
        <v>0</v>
      </c>
      <c r="AB29" s="5">
        <f t="shared" ref="AB29:AD30" si="88">+AB67-AA67</f>
        <v>0</v>
      </c>
      <c r="AC29" s="5">
        <f t="shared" si="88"/>
        <v>0</v>
      </c>
      <c r="AD29" s="5">
        <f t="shared" si="88"/>
        <v>0</v>
      </c>
      <c r="AE29" s="5">
        <f t="shared" ref="AE29:AE30" si="89">+AE67</f>
        <v>0</v>
      </c>
      <c r="AF29" s="5">
        <f t="shared" ref="AF29:AH30" si="90">+AF67-AE67</f>
        <v>0</v>
      </c>
      <c r="AG29" s="5">
        <f t="shared" si="90"/>
        <v>0</v>
      </c>
      <c r="AH29" s="5">
        <f t="shared" si="90"/>
        <v>0</v>
      </c>
      <c r="AI29" s="5">
        <f t="shared" ref="AI29:AI30" si="91">+AI67</f>
        <v>0</v>
      </c>
      <c r="AK29" s="15"/>
      <c r="AL29" s="15"/>
    </row>
    <row r="30" spans="1:38">
      <c r="A30" s="49" t="s">
        <v>168</v>
      </c>
      <c r="B30" s="44" t="s">
        <v>169</v>
      </c>
      <c r="C30" s="5">
        <v>-47230</v>
      </c>
      <c r="D30" s="5">
        <f t="shared" si="80"/>
        <v>-46450</v>
      </c>
      <c r="E30" s="5">
        <f t="shared" si="80"/>
        <v>-46376</v>
      </c>
      <c r="F30" s="5">
        <f t="shared" si="80"/>
        <v>-48270</v>
      </c>
      <c r="G30" s="5">
        <v>-52178</v>
      </c>
      <c r="H30" s="5">
        <f t="shared" si="81"/>
        <v>-48478</v>
      </c>
      <c r="I30" s="5">
        <f t="shared" si="81"/>
        <v>-47869</v>
      </c>
      <c r="J30" s="5">
        <f t="shared" si="81"/>
        <v>-49952</v>
      </c>
      <c r="K30" s="5">
        <f>+K68</f>
        <v>-51358</v>
      </c>
      <c r="L30" s="5">
        <f t="shared" si="82"/>
        <v>-58650</v>
      </c>
      <c r="M30" s="5">
        <f t="shared" si="82"/>
        <v>-68849</v>
      </c>
      <c r="N30" s="5">
        <f t="shared" si="82"/>
        <v>-69134</v>
      </c>
      <c r="O30" s="5">
        <f>+O68</f>
        <v>-72741</v>
      </c>
      <c r="P30" s="5">
        <f t="shared" si="83"/>
        <v>-68447</v>
      </c>
      <c r="Q30" s="5">
        <f t="shared" si="83"/>
        <v>-67839</v>
      </c>
      <c r="R30" s="5">
        <f t="shared" si="83"/>
        <v>-70120</v>
      </c>
      <c r="S30" s="5">
        <f>+S68</f>
        <v>-75041</v>
      </c>
      <c r="T30" s="5">
        <f t="shared" si="84"/>
        <v>-76927</v>
      </c>
      <c r="U30" s="5">
        <f t="shared" si="84"/>
        <v>-78631</v>
      </c>
      <c r="V30" s="5">
        <f t="shared" si="84"/>
        <v>-82012</v>
      </c>
      <c r="W30" s="5">
        <f t="shared" si="85"/>
        <v>-81984</v>
      </c>
      <c r="X30" s="5">
        <f t="shared" si="86"/>
        <v>-86840</v>
      </c>
      <c r="Y30" s="5">
        <f t="shared" si="86"/>
        <v>-239</v>
      </c>
      <c r="Z30" s="5">
        <f t="shared" si="86"/>
        <v>0</v>
      </c>
      <c r="AA30" s="5">
        <f t="shared" si="87"/>
        <v>0</v>
      </c>
      <c r="AB30" s="5">
        <f t="shared" si="88"/>
        <v>0</v>
      </c>
      <c r="AC30" s="5">
        <f t="shared" si="88"/>
        <v>0</v>
      </c>
      <c r="AD30" s="5">
        <f t="shared" si="88"/>
        <v>0</v>
      </c>
      <c r="AE30" s="5">
        <f t="shared" si="89"/>
        <v>0</v>
      </c>
      <c r="AF30" s="5">
        <f t="shared" si="90"/>
        <v>-34522</v>
      </c>
      <c r="AG30" s="5">
        <f t="shared" si="90"/>
        <v>-98990</v>
      </c>
      <c r="AH30" s="5">
        <f t="shared" si="90"/>
        <v>-98907</v>
      </c>
      <c r="AI30" s="5">
        <f t="shared" si="91"/>
        <v>-98669</v>
      </c>
      <c r="AK30" s="15"/>
      <c r="AL30" s="15"/>
    </row>
    <row r="31" spans="1:38" ht="24">
      <c r="A31" s="101" t="s">
        <v>214</v>
      </c>
      <c r="B31" s="46" t="s">
        <v>215</v>
      </c>
      <c r="C31" s="6">
        <f t="shared" ref="C31:J31" si="92">SUM(C28:C30)</f>
        <v>201454</v>
      </c>
      <c r="D31" s="6">
        <f t="shared" si="92"/>
        <v>232276</v>
      </c>
      <c r="E31" s="6">
        <f t="shared" si="92"/>
        <v>251035</v>
      </c>
      <c r="F31" s="6">
        <f t="shared" si="92"/>
        <v>240458</v>
      </c>
      <c r="G31" s="6">
        <f t="shared" si="92"/>
        <v>218894</v>
      </c>
      <c r="H31" s="6">
        <f t="shared" si="92"/>
        <v>260158</v>
      </c>
      <c r="I31" s="6">
        <f t="shared" si="92"/>
        <v>264918</v>
      </c>
      <c r="J31" s="6">
        <f t="shared" si="92"/>
        <v>280635</v>
      </c>
      <c r="K31" s="6">
        <f t="shared" ref="K31:AG31" si="93">SUM(K28:K30)</f>
        <v>232674</v>
      </c>
      <c r="L31" s="6">
        <f t="shared" si="93"/>
        <v>234516.37461358006</v>
      </c>
      <c r="M31" s="6">
        <f t="shared" si="93"/>
        <v>268663.62538641994</v>
      </c>
      <c r="N31" s="6">
        <f t="shared" si="93"/>
        <v>99489</v>
      </c>
      <c r="O31" s="6">
        <f t="shared" si="93"/>
        <v>77798</v>
      </c>
      <c r="P31" s="6">
        <f t="shared" si="93"/>
        <v>108138</v>
      </c>
      <c r="Q31" s="6">
        <f t="shared" si="93"/>
        <v>127360</v>
      </c>
      <c r="R31" s="6">
        <f t="shared" si="93"/>
        <v>-102361</v>
      </c>
      <c r="S31" s="6">
        <f t="shared" si="93"/>
        <v>-245030</v>
      </c>
      <c r="T31" s="6">
        <f t="shared" si="93"/>
        <v>-103911</v>
      </c>
      <c r="U31" s="6">
        <f t="shared" si="93"/>
        <v>-244941</v>
      </c>
      <c r="V31" s="6">
        <f t="shared" si="93"/>
        <v>-407061</v>
      </c>
      <c r="W31" s="6">
        <f t="shared" si="93"/>
        <v>9431</v>
      </c>
      <c r="X31" s="6">
        <f t="shared" si="93"/>
        <v>-12980</v>
      </c>
      <c r="Y31" s="6">
        <f t="shared" si="93"/>
        <v>-1140658</v>
      </c>
      <c r="Z31" s="6">
        <f t="shared" si="93"/>
        <v>413452</v>
      </c>
      <c r="AA31" s="6">
        <f t="shared" si="93"/>
        <v>533601</v>
      </c>
      <c r="AB31" s="6">
        <f t="shared" si="93"/>
        <v>241825</v>
      </c>
      <c r="AC31" s="6">
        <f t="shared" si="93"/>
        <v>280755</v>
      </c>
      <c r="AD31" s="6">
        <f t="shared" si="93"/>
        <v>256306</v>
      </c>
      <c r="AE31" s="6">
        <f t="shared" si="93"/>
        <v>129293</v>
      </c>
      <c r="AF31" s="6">
        <f t="shared" si="93"/>
        <v>117282</v>
      </c>
      <c r="AG31" s="6">
        <f t="shared" si="93"/>
        <v>317173</v>
      </c>
      <c r="AH31" s="6">
        <f t="shared" ref="AH31:AI31" si="94">SUM(AH28:AH30)</f>
        <v>311276</v>
      </c>
      <c r="AI31" s="6">
        <f t="shared" si="94"/>
        <v>317703</v>
      </c>
      <c r="AK31" s="15"/>
      <c r="AL31" s="15"/>
    </row>
    <row r="32" spans="1:38" ht="12.5" thickBot="1">
      <c r="A32" s="102" t="s">
        <v>7</v>
      </c>
      <c r="B32" s="47" t="s">
        <v>68</v>
      </c>
      <c r="C32" s="8">
        <v>-60956</v>
      </c>
      <c r="D32" s="8">
        <f>+D70-C70</f>
        <v>-58678</v>
      </c>
      <c r="E32" s="8">
        <f>+E70-D70</f>
        <v>-63551</v>
      </c>
      <c r="F32" s="8">
        <f>+F70-E70</f>
        <v>-60811</v>
      </c>
      <c r="G32" s="8">
        <v>-63618</v>
      </c>
      <c r="H32" s="8">
        <f>+H70-G70</f>
        <v>-67489</v>
      </c>
      <c r="I32" s="8">
        <f>+I70-H70</f>
        <v>-64729</v>
      </c>
      <c r="J32" s="8">
        <f>+J70-I70</f>
        <v>-68118</v>
      </c>
      <c r="K32" s="8">
        <f>+K70</f>
        <v>-72708</v>
      </c>
      <c r="L32" s="8">
        <f>+L70-K70</f>
        <v>-60859</v>
      </c>
      <c r="M32" s="8">
        <f>+M70-L70</f>
        <v>-68524</v>
      </c>
      <c r="N32" s="8">
        <f>+N70-M70</f>
        <v>-72520</v>
      </c>
      <c r="O32" s="8">
        <f>+O70</f>
        <v>-59669</v>
      </c>
      <c r="P32" s="8">
        <f>+P70-O70</f>
        <v>-54543</v>
      </c>
      <c r="Q32" s="8">
        <f>+Q70-P70</f>
        <v>-67214</v>
      </c>
      <c r="R32" s="8">
        <f>+R70-Q70</f>
        <v>-6692</v>
      </c>
      <c r="S32" s="8">
        <f>+S70</f>
        <v>-66308</v>
      </c>
      <c r="T32" s="8">
        <f>+T70-S70</f>
        <v>-96399</v>
      </c>
      <c r="U32" s="8">
        <f>+U70-T70</f>
        <v>-66367</v>
      </c>
      <c r="V32" s="8">
        <f>+V70-U70</f>
        <v>-101849</v>
      </c>
      <c r="W32" s="8">
        <f>+W70</f>
        <v>-131771</v>
      </c>
      <c r="X32" s="8">
        <f>+X70-W70</f>
        <v>-127281</v>
      </c>
      <c r="Y32" s="8">
        <f>+Y70-X70</f>
        <v>139756</v>
      </c>
      <c r="Z32" s="8">
        <f>+Z70-Y70</f>
        <v>-164515</v>
      </c>
      <c r="AA32" s="8">
        <f>+AA70</f>
        <v>-281455</v>
      </c>
      <c r="AB32" s="8">
        <f>+AB70-AA70</f>
        <v>-136053</v>
      </c>
      <c r="AC32" s="8">
        <f>+AC70-AB70</f>
        <v>-178055</v>
      </c>
      <c r="AD32" s="8">
        <f>+AD70-AC70</f>
        <v>-141207</v>
      </c>
      <c r="AE32" s="8">
        <f>+AE70</f>
        <v>-867</v>
      </c>
      <c r="AF32" s="8">
        <f>+AF70-AE70</f>
        <v>111225</v>
      </c>
      <c r="AG32" s="8">
        <f>+AG70-AF70</f>
        <v>-127410</v>
      </c>
      <c r="AH32" s="8">
        <f>+AH70-AG70</f>
        <v>-138763</v>
      </c>
      <c r="AI32" s="8">
        <f>+AI70</f>
        <v>-138434</v>
      </c>
    </row>
    <row r="33" spans="1:41" ht="12.5" thickBot="1">
      <c r="A33" s="50" t="s">
        <v>216</v>
      </c>
      <c r="B33" s="48" t="s">
        <v>67</v>
      </c>
      <c r="C33" s="3">
        <f t="shared" ref="C33:J33" si="95">+C32+C31</f>
        <v>140498</v>
      </c>
      <c r="D33" s="3">
        <f t="shared" si="95"/>
        <v>173598</v>
      </c>
      <c r="E33" s="3">
        <f t="shared" si="95"/>
        <v>187484</v>
      </c>
      <c r="F33" s="3">
        <f t="shared" si="95"/>
        <v>179647</v>
      </c>
      <c r="G33" s="3">
        <f t="shared" si="95"/>
        <v>155276</v>
      </c>
      <c r="H33" s="3">
        <f t="shared" si="95"/>
        <v>192669</v>
      </c>
      <c r="I33" s="3">
        <f t="shared" si="95"/>
        <v>200189</v>
      </c>
      <c r="J33" s="3">
        <f t="shared" si="95"/>
        <v>212517</v>
      </c>
      <c r="K33" s="3">
        <f t="shared" ref="K33:AG33" si="96">+K32+K31</f>
        <v>159966</v>
      </c>
      <c r="L33" s="3">
        <f t="shared" si="96"/>
        <v>173657.37461358006</v>
      </c>
      <c r="M33" s="3">
        <f t="shared" si="96"/>
        <v>200139.62538641994</v>
      </c>
      <c r="N33" s="3">
        <f t="shared" si="96"/>
        <v>26969</v>
      </c>
      <c r="O33" s="3">
        <f t="shared" si="96"/>
        <v>18129</v>
      </c>
      <c r="P33" s="3">
        <f t="shared" si="96"/>
        <v>53595</v>
      </c>
      <c r="Q33" s="3">
        <f t="shared" si="96"/>
        <v>60146</v>
      </c>
      <c r="R33" s="3">
        <f t="shared" si="96"/>
        <v>-109053</v>
      </c>
      <c r="S33" s="3">
        <f t="shared" si="96"/>
        <v>-311338</v>
      </c>
      <c r="T33" s="3">
        <f t="shared" si="96"/>
        <v>-200310</v>
      </c>
      <c r="U33" s="3">
        <f t="shared" si="96"/>
        <v>-311308</v>
      </c>
      <c r="V33" s="3">
        <f t="shared" si="96"/>
        <v>-508910</v>
      </c>
      <c r="W33" s="3">
        <f t="shared" si="96"/>
        <v>-122340</v>
      </c>
      <c r="X33" s="3">
        <f t="shared" si="96"/>
        <v>-140261</v>
      </c>
      <c r="Y33" s="3">
        <f t="shared" si="96"/>
        <v>-1000902</v>
      </c>
      <c r="Z33" s="3">
        <f t="shared" si="96"/>
        <v>248937</v>
      </c>
      <c r="AA33" s="3">
        <f t="shared" si="96"/>
        <v>252146</v>
      </c>
      <c r="AB33" s="3">
        <f t="shared" si="96"/>
        <v>105772</v>
      </c>
      <c r="AC33" s="3">
        <f t="shared" si="96"/>
        <v>102700</v>
      </c>
      <c r="AD33" s="3">
        <f t="shared" si="96"/>
        <v>115099</v>
      </c>
      <c r="AE33" s="3">
        <f t="shared" si="96"/>
        <v>128426</v>
      </c>
      <c r="AF33" s="3">
        <f t="shared" si="96"/>
        <v>228507</v>
      </c>
      <c r="AG33" s="3">
        <f t="shared" si="96"/>
        <v>189763</v>
      </c>
      <c r="AH33" s="3">
        <f t="shared" ref="AH33:AI33" si="97">+AH32+AH31</f>
        <v>172513</v>
      </c>
      <c r="AI33" s="3">
        <f t="shared" si="97"/>
        <v>179269</v>
      </c>
    </row>
    <row r="34" spans="1:41">
      <c r="A34" s="103" t="s">
        <v>8</v>
      </c>
      <c r="B34" s="45" t="s">
        <v>55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K34" s="15"/>
      <c r="AL34" s="15"/>
    </row>
    <row r="35" spans="1:41">
      <c r="A35" s="104" t="s">
        <v>9</v>
      </c>
      <c r="B35" s="83" t="s">
        <v>217</v>
      </c>
      <c r="C35" s="5">
        <v>140498</v>
      </c>
      <c r="D35" s="5">
        <f t="shared" ref="D35:F36" si="98">+D73-C73</f>
        <v>173598</v>
      </c>
      <c r="E35" s="5">
        <f t="shared" si="98"/>
        <v>187484</v>
      </c>
      <c r="F35" s="5">
        <f t="shared" si="98"/>
        <v>179647</v>
      </c>
      <c r="G35" s="5">
        <v>155276</v>
      </c>
      <c r="H35" s="5">
        <f t="shared" ref="H35:J36" si="99">+H73-G73</f>
        <v>192669</v>
      </c>
      <c r="I35" s="5">
        <f t="shared" si="99"/>
        <v>200189</v>
      </c>
      <c r="J35" s="5">
        <f t="shared" si="99"/>
        <v>212517</v>
      </c>
      <c r="K35" s="5">
        <f>+K73</f>
        <v>159966</v>
      </c>
      <c r="L35" s="5">
        <f>+L73-K73</f>
        <v>173657.37461358006</v>
      </c>
      <c r="M35" s="5">
        <f>+M73-L73</f>
        <v>200139.62538641994</v>
      </c>
      <c r="N35" s="5">
        <f>+N73-M73</f>
        <v>26969</v>
      </c>
      <c r="O35" s="5">
        <f>+O73</f>
        <v>18129</v>
      </c>
      <c r="P35" s="5">
        <f t="shared" ref="P35:R36" si="100">+P73-O73</f>
        <v>53595</v>
      </c>
      <c r="Q35" s="5">
        <f t="shared" si="100"/>
        <v>60146</v>
      </c>
      <c r="R35" s="5">
        <f t="shared" si="100"/>
        <v>-109053</v>
      </c>
      <c r="S35" s="5">
        <f>+S73</f>
        <v>-311338</v>
      </c>
      <c r="T35" s="5">
        <f t="shared" ref="T35:V36" si="101">+T73-S73</f>
        <v>-200310</v>
      </c>
      <c r="U35" s="5">
        <f t="shared" si="101"/>
        <v>-311308</v>
      </c>
      <c r="V35" s="5">
        <f t="shared" si="101"/>
        <v>-508910</v>
      </c>
      <c r="W35" s="5">
        <f t="shared" ref="W35:W36" si="102">+W73</f>
        <v>-122340</v>
      </c>
      <c r="X35" s="5">
        <f t="shared" ref="X35:Z36" si="103">+X73-W73</f>
        <v>-140261</v>
      </c>
      <c r="Y35" s="5">
        <f t="shared" si="103"/>
        <v>-1000902</v>
      </c>
      <c r="Z35" s="5">
        <f t="shared" si="103"/>
        <v>248937</v>
      </c>
      <c r="AA35" s="5">
        <f t="shared" ref="AA35:AD36" si="104">+AA73</f>
        <v>252146</v>
      </c>
      <c r="AB35" s="5">
        <f>+AB73-AA73</f>
        <v>105772</v>
      </c>
      <c r="AC35" s="5">
        <f>+AC73-AB73</f>
        <v>102700</v>
      </c>
      <c r="AD35" s="5">
        <f>+AD73-AC73</f>
        <v>115099</v>
      </c>
      <c r="AE35" s="5">
        <f t="shared" ref="AE35:AG36" si="105">+AE73</f>
        <v>128426</v>
      </c>
      <c r="AF35" s="5">
        <f>+AF73-AE73</f>
        <v>228507</v>
      </c>
      <c r="AG35" s="5">
        <f>+AG73-AF73</f>
        <v>189763</v>
      </c>
      <c r="AH35" s="5">
        <f>+AH73-AG73</f>
        <v>172513</v>
      </c>
      <c r="AI35" s="5">
        <f t="shared" ref="AI35:AI36" si="106">+AI73</f>
        <v>179269</v>
      </c>
      <c r="AK35" s="15"/>
      <c r="AL35" s="15"/>
    </row>
    <row r="36" spans="1:41">
      <c r="A36" s="104" t="s">
        <v>10</v>
      </c>
      <c r="B36" s="83" t="s">
        <v>218</v>
      </c>
      <c r="C36" s="5">
        <v>0</v>
      </c>
      <c r="D36" s="5">
        <f t="shared" si="98"/>
        <v>0</v>
      </c>
      <c r="E36" s="5">
        <f t="shared" si="98"/>
        <v>0</v>
      </c>
      <c r="F36" s="5">
        <f t="shared" si="98"/>
        <v>0</v>
      </c>
      <c r="G36" s="5">
        <v>0</v>
      </c>
      <c r="H36" s="5">
        <f t="shared" si="99"/>
        <v>0</v>
      </c>
      <c r="I36" s="5">
        <f t="shared" si="99"/>
        <v>0</v>
      </c>
      <c r="J36" s="5">
        <f t="shared" si="99"/>
        <v>0</v>
      </c>
      <c r="K36" s="5">
        <f>+K74-J74</f>
        <v>0</v>
      </c>
      <c r="L36" s="5">
        <f>+L74-I74</f>
        <v>0</v>
      </c>
      <c r="M36" s="5">
        <f>+M74-J74</f>
        <v>0</v>
      </c>
      <c r="N36" s="5">
        <f>+N74-K74</f>
        <v>0</v>
      </c>
      <c r="O36" s="5">
        <f>+O74-N74</f>
        <v>0</v>
      </c>
      <c r="P36" s="5">
        <f t="shared" si="100"/>
        <v>0</v>
      </c>
      <c r="Q36" s="5">
        <f t="shared" si="100"/>
        <v>0</v>
      </c>
      <c r="R36" s="5">
        <f t="shared" si="100"/>
        <v>0</v>
      </c>
      <c r="S36" s="5">
        <f>+S74-R74</f>
        <v>0</v>
      </c>
      <c r="T36" s="5">
        <f t="shared" si="101"/>
        <v>0</v>
      </c>
      <c r="U36" s="5">
        <f t="shared" si="101"/>
        <v>0</v>
      </c>
      <c r="V36" s="5">
        <f t="shared" si="101"/>
        <v>0</v>
      </c>
      <c r="W36" s="5">
        <f t="shared" si="102"/>
        <v>0</v>
      </c>
      <c r="X36" s="5">
        <f t="shared" si="103"/>
        <v>0</v>
      </c>
      <c r="Y36" s="5">
        <f t="shared" si="103"/>
        <v>0</v>
      </c>
      <c r="Z36" s="5">
        <f t="shared" si="103"/>
        <v>0</v>
      </c>
      <c r="AA36" s="5">
        <f t="shared" si="104"/>
        <v>0</v>
      </c>
      <c r="AB36" s="5">
        <f t="shared" si="104"/>
        <v>0</v>
      </c>
      <c r="AC36" s="5">
        <f t="shared" si="104"/>
        <v>0</v>
      </c>
      <c r="AD36" s="5">
        <f t="shared" si="104"/>
        <v>0</v>
      </c>
      <c r="AE36" s="5">
        <f t="shared" si="105"/>
        <v>0</v>
      </c>
      <c r="AF36" s="5">
        <f t="shared" si="105"/>
        <v>0</v>
      </c>
      <c r="AG36" s="5">
        <f t="shared" si="105"/>
        <v>0</v>
      </c>
      <c r="AH36" s="5">
        <f t="shared" ref="AH36" si="107">+AH74</f>
        <v>0</v>
      </c>
      <c r="AI36" s="5">
        <f t="shared" si="106"/>
        <v>0</v>
      </c>
      <c r="AK36" s="15"/>
      <c r="AL36" s="15"/>
      <c r="AO36" s="15"/>
    </row>
    <row r="37" spans="1:41">
      <c r="AO37" s="15"/>
    </row>
    <row r="38" spans="1:41">
      <c r="AO38" s="15"/>
    </row>
    <row r="39" spans="1:41" ht="15.5">
      <c r="A39" s="39" t="s">
        <v>291</v>
      </c>
      <c r="AO39" s="15"/>
    </row>
    <row r="40" spans="1:41" ht="15.5">
      <c r="A40" s="39" t="s">
        <v>371</v>
      </c>
      <c r="AO40" s="15"/>
    </row>
    <row r="41" spans="1:41" s="117" customFormat="1" ht="24.5" thickBot="1">
      <c r="A41" s="98" t="s">
        <v>389</v>
      </c>
      <c r="B41" s="98" t="s">
        <v>99</v>
      </c>
      <c r="C41" s="115" t="s">
        <v>179</v>
      </c>
      <c r="D41" s="115" t="s">
        <v>181</v>
      </c>
      <c r="E41" s="115" t="s">
        <v>184</v>
      </c>
      <c r="F41" s="115" t="s">
        <v>189</v>
      </c>
      <c r="G41" s="115" t="s">
        <v>192</v>
      </c>
      <c r="H41" s="115" t="s">
        <v>266</v>
      </c>
      <c r="I41" s="115" t="s">
        <v>297</v>
      </c>
      <c r="J41" s="115" t="s">
        <v>302</v>
      </c>
      <c r="K41" s="115" t="s">
        <v>306</v>
      </c>
      <c r="L41" s="115" t="s">
        <v>315</v>
      </c>
      <c r="M41" s="115" t="s">
        <v>321</v>
      </c>
      <c r="N41" s="115" t="s">
        <v>325</v>
      </c>
      <c r="O41" s="115" t="s">
        <v>400</v>
      </c>
      <c r="P41" s="115" t="s">
        <v>471</v>
      </c>
      <c r="Q41" s="115" t="s">
        <v>476</v>
      </c>
      <c r="R41" s="115" t="s">
        <v>485</v>
      </c>
      <c r="S41" s="115" t="s">
        <v>489</v>
      </c>
      <c r="T41" s="115" t="s">
        <v>494</v>
      </c>
      <c r="U41" s="115" t="s">
        <v>506</v>
      </c>
      <c r="V41" s="115" t="s">
        <v>511</v>
      </c>
      <c r="W41" s="115" t="s">
        <v>515</v>
      </c>
      <c r="X41" s="115" t="s">
        <v>522</v>
      </c>
      <c r="Y41" s="115" t="s">
        <v>528</v>
      </c>
      <c r="Z41" s="115" t="s">
        <v>532</v>
      </c>
      <c r="AA41" s="115" t="s">
        <v>547</v>
      </c>
      <c r="AB41" s="115" t="s">
        <v>647</v>
      </c>
      <c r="AC41" s="115" t="s">
        <v>651</v>
      </c>
      <c r="AD41" s="115" t="s">
        <v>662</v>
      </c>
      <c r="AE41" s="115" t="s">
        <v>666</v>
      </c>
      <c r="AF41" s="115" t="s">
        <v>673</v>
      </c>
      <c r="AG41" s="115" t="s">
        <v>681</v>
      </c>
      <c r="AH41" s="115" t="s">
        <v>686</v>
      </c>
      <c r="AI41" s="115" t="s">
        <v>690</v>
      </c>
      <c r="AO41" s="123"/>
    </row>
    <row r="42" spans="1:41">
      <c r="A42" s="44" t="s">
        <v>14</v>
      </c>
      <c r="B42" s="45" t="s">
        <v>193</v>
      </c>
      <c r="C42" s="4">
        <v>594025</v>
      </c>
      <c r="D42" s="4">
        <v>1196582</v>
      </c>
      <c r="E42" s="4">
        <v>1818176</v>
      </c>
      <c r="F42" s="4">
        <v>2439330</v>
      </c>
      <c r="G42" s="4">
        <v>617997</v>
      </c>
      <c r="H42" s="4">
        <v>1258158</v>
      </c>
      <c r="I42" s="4">
        <v>1923680</v>
      </c>
      <c r="J42" s="4">
        <v>2622338</v>
      </c>
      <c r="K42" s="4">
        <v>710898</v>
      </c>
      <c r="L42" s="4">
        <v>1515632.3746135801</v>
      </c>
      <c r="M42" s="4">
        <v>2473412</v>
      </c>
      <c r="N42" s="4">
        <v>3437304</v>
      </c>
      <c r="O42" s="4">
        <f>927731+O84</f>
        <v>927731</v>
      </c>
      <c r="P42" s="4">
        <f>1737084+P84</f>
        <v>1737084</v>
      </c>
      <c r="Q42" s="4">
        <f>2430080+Q84</f>
        <v>2430080</v>
      </c>
      <c r="R42" s="4">
        <f>3092119+R84</f>
        <v>3092119</v>
      </c>
      <c r="S42" s="4">
        <f>652138+S84</f>
        <v>652138</v>
      </c>
      <c r="T42" s="4">
        <v>1339896</v>
      </c>
      <c r="U42" s="4">
        <v>2036306</v>
      </c>
      <c r="V42" s="4">
        <v>2842093</v>
      </c>
      <c r="W42" s="4">
        <v>1059315</v>
      </c>
      <c r="X42" s="4">
        <v>2551239</v>
      </c>
      <c r="Y42" s="173">
        <f>4381556-1422893</f>
        <v>2958663</v>
      </c>
      <c r="Z42" s="173">
        <v>4999897</v>
      </c>
      <c r="AA42" s="4">
        <v>2071433</v>
      </c>
      <c r="AB42" s="4">
        <v>4158958</v>
      </c>
      <c r="AC42" s="4">
        <v>6316105</v>
      </c>
      <c r="AD42" s="173">
        <v>8435773</v>
      </c>
      <c r="AE42" s="4">
        <v>2169427</v>
      </c>
      <c r="AF42" s="173">
        <v>4174626</v>
      </c>
      <c r="AG42" s="173">
        <v>6487795</v>
      </c>
      <c r="AH42" s="173">
        <v>8823127</v>
      </c>
      <c r="AI42" s="4">
        <v>2268053</v>
      </c>
      <c r="AM42" s="15"/>
      <c r="AO42" s="15"/>
    </row>
    <row r="43" spans="1:41">
      <c r="A43" s="44" t="s">
        <v>194</v>
      </c>
      <c r="B43" s="44" t="s">
        <v>57</v>
      </c>
      <c r="C43" s="5">
        <v>-182862</v>
      </c>
      <c r="D43" s="5">
        <v>-355515</v>
      </c>
      <c r="E43" s="5">
        <v>-530486</v>
      </c>
      <c r="F43" s="5">
        <v>-702470</v>
      </c>
      <c r="G43" s="5">
        <v>-181304</v>
      </c>
      <c r="H43" s="5">
        <v>-365212</v>
      </c>
      <c r="I43" s="5">
        <v>-549618</v>
      </c>
      <c r="J43" s="5">
        <v>-744444</v>
      </c>
      <c r="K43" s="5">
        <v>-210567</v>
      </c>
      <c r="L43" s="5">
        <v>-430970</v>
      </c>
      <c r="M43" s="5">
        <v>-683560</v>
      </c>
      <c r="N43" s="5">
        <v>-937917</v>
      </c>
      <c r="O43" s="5">
        <v>-251964</v>
      </c>
      <c r="P43" s="5">
        <v>-433860</v>
      </c>
      <c r="Q43" s="5">
        <v>-502911</v>
      </c>
      <c r="R43" s="5">
        <v>-543519</v>
      </c>
      <c r="S43" s="5">
        <v>-32638</v>
      </c>
      <c r="T43" s="5">
        <v>-62730</v>
      </c>
      <c r="U43" s="5">
        <v>-90262</v>
      </c>
      <c r="V43" s="5">
        <v>-128950</v>
      </c>
      <c r="W43" s="5">
        <v>-98276</v>
      </c>
      <c r="X43" s="5">
        <v>-411318</v>
      </c>
      <c r="Y43" s="5">
        <v>-970251</v>
      </c>
      <c r="Z43" s="5">
        <v>-1662606</v>
      </c>
      <c r="AA43" s="5">
        <v>-809309</v>
      </c>
      <c r="AB43" s="5">
        <v>-1561008</v>
      </c>
      <c r="AC43" s="5">
        <v>-2346394</v>
      </c>
      <c r="AD43" s="5">
        <v>-3182284</v>
      </c>
      <c r="AE43" s="5">
        <v>-815182</v>
      </c>
      <c r="AF43" s="5">
        <v>-1638809</v>
      </c>
      <c r="AG43" s="5">
        <v>-2462896</v>
      </c>
      <c r="AH43" s="5">
        <v>-3293183</v>
      </c>
      <c r="AI43" s="5">
        <v>-844598</v>
      </c>
      <c r="AM43" s="15"/>
      <c r="AO43" s="15"/>
    </row>
    <row r="44" spans="1:41">
      <c r="A44" s="46" t="s">
        <v>15</v>
      </c>
      <c r="B44" s="46" t="s">
        <v>58</v>
      </c>
      <c r="C44" s="6">
        <v>411163</v>
      </c>
      <c r="D44" s="6">
        <v>841067</v>
      </c>
      <c r="E44" s="6">
        <v>1287690</v>
      </c>
      <c r="F44" s="6">
        <v>1736860</v>
      </c>
      <c r="G44" s="6">
        <v>436693</v>
      </c>
      <c r="H44" s="6">
        <v>892946</v>
      </c>
      <c r="I44" s="6">
        <v>1374062</v>
      </c>
      <c r="J44" s="6">
        <v>1877894</v>
      </c>
      <c r="K44" s="6">
        <v>500331</v>
      </c>
      <c r="L44" s="6">
        <v>1084662.3746135801</v>
      </c>
      <c r="M44" s="6">
        <v>1789852</v>
      </c>
      <c r="N44" s="6">
        <v>2499387</v>
      </c>
      <c r="O44" s="6">
        <f t="shared" ref="O44:R44" si="108">SUM(O42:O43)</f>
        <v>675767</v>
      </c>
      <c r="P44" s="6">
        <f t="shared" si="108"/>
        <v>1303224</v>
      </c>
      <c r="Q44" s="6">
        <f t="shared" si="108"/>
        <v>1927169</v>
      </c>
      <c r="R44" s="6">
        <f t="shared" si="108"/>
        <v>2548600</v>
      </c>
      <c r="S44" s="6">
        <f t="shared" ref="S44:Y44" si="109">SUM(S42:S43)</f>
        <v>619500</v>
      </c>
      <c r="T44" s="6">
        <f t="shared" si="109"/>
        <v>1277166</v>
      </c>
      <c r="U44" s="6">
        <f t="shared" si="109"/>
        <v>1946044</v>
      </c>
      <c r="V44" s="6">
        <f t="shared" si="109"/>
        <v>2713143</v>
      </c>
      <c r="W44" s="6">
        <f t="shared" si="109"/>
        <v>961039</v>
      </c>
      <c r="X44" s="6">
        <f t="shared" si="109"/>
        <v>2139921</v>
      </c>
      <c r="Y44" s="174">
        <f t="shared" si="109"/>
        <v>1988412</v>
      </c>
      <c r="Z44" s="174">
        <f t="shared" ref="Z44:AI44" si="110">SUM(Z42:Z43)</f>
        <v>3337291</v>
      </c>
      <c r="AA44" s="6">
        <f t="shared" si="110"/>
        <v>1262124</v>
      </c>
      <c r="AB44" s="6">
        <f t="shared" si="110"/>
        <v>2597950</v>
      </c>
      <c r="AC44" s="6">
        <f t="shared" si="110"/>
        <v>3969711</v>
      </c>
      <c r="AD44" s="174">
        <f t="shared" si="110"/>
        <v>5253489</v>
      </c>
      <c r="AE44" s="6">
        <f t="shared" si="110"/>
        <v>1354245</v>
      </c>
      <c r="AF44" s="174">
        <f t="shared" si="110"/>
        <v>2535817</v>
      </c>
      <c r="AG44" s="174">
        <f t="shared" si="110"/>
        <v>4024899</v>
      </c>
      <c r="AH44" s="174">
        <f t="shared" si="110"/>
        <v>5529944</v>
      </c>
      <c r="AI44" s="6">
        <f t="shared" si="110"/>
        <v>1423455</v>
      </c>
      <c r="AM44" s="15"/>
      <c r="AO44" s="15"/>
    </row>
    <row r="45" spans="1:41">
      <c r="A45" s="44" t="s">
        <v>0</v>
      </c>
      <c r="B45" s="44" t="s">
        <v>59</v>
      </c>
      <c r="C45" s="5">
        <v>196098</v>
      </c>
      <c r="D45" s="5">
        <v>392262</v>
      </c>
      <c r="E45" s="5">
        <v>593326</v>
      </c>
      <c r="F45" s="5">
        <v>799288</v>
      </c>
      <c r="G45" s="5">
        <v>209202</v>
      </c>
      <c r="H45" s="5">
        <v>414561</v>
      </c>
      <c r="I45" s="5">
        <v>619908</v>
      </c>
      <c r="J45" s="5">
        <v>824245</v>
      </c>
      <c r="K45" s="5">
        <v>201530</v>
      </c>
      <c r="L45" s="5">
        <v>422827</v>
      </c>
      <c r="M45" s="5">
        <v>661098</v>
      </c>
      <c r="N45" s="5">
        <v>899887</v>
      </c>
      <c r="O45" s="5">
        <v>247669</v>
      </c>
      <c r="P45" s="5">
        <v>471703</v>
      </c>
      <c r="Q45" s="5">
        <v>706868</v>
      </c>
      <c r="R45" s="5">
        <v>947414</v>
      </c>
      <c r="S45" s="5">
        <v>245994</v>
      </c>
      <c r="T45" s="5">
        <v>499849</v>
      </c>
      <c r="U45" s="5">
        <v>751746</v>
      </c>
      <c r="V45" s="5">
        <v>1012250</v>
      </c>
      <c r="W45" s="5">
        <v>267907</v>
      </c>
      <c r="X45" s="5">
        <v>528405</v>
      </c>
      <c r="Y45" s="5">
        <v>768262</v>
      </c>
      <c r="Z45" s="5">
        <v>1027745</v>
      </c>
      <c r="AA45" s="5">
        <v>260648</v>
      </c>
      <c r="AB45" s="5">
        <v>524599</v>
      </c>
      <c r="AC45" s="5">
        <v>780381</v>
      </c>
      <c r="AD45" s="5">
        <v>1037135</v>
      </c>
      <c r="AE45" s="5">
        <v>262422</v>
      </c>
      <c r="AF45" s="5">
        <v>524571</v>
      </c>
      <c r="AG45" s="5">
        <v>799242</v>
      </c>
      <c r="AH45" s="5">
        <v>1058319</v>
      </c>
      <c r="AI45" s="5">
        <v>249475</v>
      </c>
      <c r="AM45" s="15"/>
      <c r="AO45" s="15"/>
    </row>
    <row r="46" spans="1:41">
      <c r="A46" s="44" t="s">
        <v>195</v>
      </c>
      <c r="B46" s="44" t="s">
        <v>60</v>
      </c>
      <c r="C46" s="5">
        <v>-29981</v>
      </c>
      <c r="D46" s="5">
        <v>-63627</v>
      </c>
      <c r="E46" s="5">
        <v>-99153</v>
      </c>
      <c r="F46" s="5">
        <v>-135735</v>
      </c>
      <c r="G46" s="5">
        <v>-36698</v>
      </c>
      <c r="H46" s="5">
        <v>-77974</v>
      </c>
      <c r="I46" s="5">
        <v>-120408</v>
      </c>
      <c r="J46" s="5">
        <v>-163176</v>
      </c>
      <c r="K46" s="5">
        <v>-38356</v>
      </c>
      <c r="L46" s="5">
        <v>-84628</v>
      </c>
      <c r="M46" s="5">
        <v>-144592</v>
      </c>
      <c r="N46" s="5">
        <v>-200734</v>
      </c>
      <c r="O46" s="5">
        <v>-53136</v>
      </c>
      <c r="P46" s="5">
        <v>-98175</v>
      </c>
      <c r="Q46" s="5">
        <v>-153542</v>
      </c>
      <c r="R46" s="5">
        <v>-201358</v>
      </c>
      <c r="S46" s="5">
        <v>-41217</v>
      </c>
      <c r="T46" s="5">
        <v>-85762</v>
      </c>
      <c r="U46" s="5">
        <v>-136094</v>
      </c>
      <c r="V46" s="5">
        <v>-181638</v>
      </c>
      <c r="W46" s="5">
        <v>-47091</v>
      </c>
      <c r="X46" s="5">
        <v>-101467</v>
      </c>
      <c r="Y46" s="5">
        <v>-161954</v>
      </c>
      <c r="Z46" s="5">
        <v>-219440</v>
      </c>
      <c r="AA46" s="5">
        <v>-59716</v>
      </c>
      <c r="AB46" s="5">
        <v>-120647</v>
      </c>
      <c r="AC46" s="5">
        <v>-188471</v>
      </c>
      <c r="AD46" s="5">
        <v>-254750</v>
      </c>
      <c r="AE46" s="5">
        <v>-62840</v>
      </c>
      <c r="AF46" s="5">
        <v>-134450</v>
      </c>
      <c r="AG46" s="5">
        <v>-210487</v>
      </c>
      <c r="AH46" s="5">
        <v>-281621</v>
      </c>
      <c r="AI46" s="5">
        <v>-66928</v>
      </c>
      <c r="AO46" s="15"/>
    </row>
    <row r="47" spans="1:41">
      <c r="A47" s="46" t="s">
        <v>1</v>
      </c>
      <c r="B47" s="46" t="s">
        <v>61</v>
      </c>
      <c r="C47" s="6">
        <v>166117</v>
      </c>
      <c r="D47" s="6">
        <v>328635</v>
      </c>
      <c r="E47" s="6">
        <v>494173</v>
      </c>
      <c r="F47" s="6">
        <v>663553</v>
      </c>
      <c r="G47" s="6">
        <v>172504</v>
      </c>
      <c r="H47" s="6">
        <v>336587</v>
      </c>
      <c r="I47" s="6">
        <v>499500</v>
      </c>
      <c r="J47" s="6">
        <v>661069</v>
      </c>
      <c r="K47" s="6">
        <v>163174</v>
      </c>
      <c r="L47" s="6">
        <v>338199</v>
      </c>
      <c r="M47" s="6">
        <v>516506</v>
      </c>
      <c r="N47" s="6">
        <v>699153</v>
      </c>
      <c r="O47" s="6">
        <f t="shared" ref="O47:AI47" si="111">SUM(O45:O46)</f>
        <v>194533</v>
      </c>
      <c r="P47" s="6">
        <f t="shared" si="111"/>
        <v>373528</v>
      </c>
      <c r="Q47" s="6">
        <f t="shared" si="111"/>
        <v>553326</v>
      </c>
      <c r="R47" s="6">
        <f t="shared" si="111"/>
        <v>746056</v>
      </c>
      <c r="S47" s="6">
        <f t="shared" si="111"/>
        <v>204777</v>
      </c>
      <c r="T47" s="6">
        <f t="shared" si="111"/>
        <v>414087</v>
      </c>
      <c r="U47" s="6">
        <f t="shared" si="111"/>
        <v>615652</v>
      </c>
      <c r="V47" s="6">
        <f t="shared" si="111"/>
        <v>830612</v>
      </c>
      <c r="W47" s="6">
        <f t="shared" si="111"/>
        <v>220816</v>
      </c>
      <c r="X47" s="6">
        <f t="shared" si="111"/>
        <v>426938</v>
      </c>
      <c r="Y47" s="6">
        <f t="shared" si="111"/>
        <v>606308</v>
      </c>
      <c r="Z47" s="6">
        <f t="shared" si="111"/>
        <v>808305</v>
      </c>
      <c r="AA47" s="6">
        <f t="shared" si="111"/>
        <v>200932</v>
      </c>
      <c r="AB47" s="6">
        <f t="shared" si="111"/>
        <v>403952</v>
      </c>
      <c r="AC47" s="6">
        <f t="shared" si="111"/>
        <v>591910</v>
      </c>
      <c r="AD47" s="6">
        <f t="shared" si="111"/>
        <v>782385</v>
      </c>
      <c r="AE47" s="6">
        <f t="shared" si="111"/>
        <v>199582</v>
      </c>
      <c r="AF47" s="6">
        <f t="shared" si="111"/>
        <v>390121</v>
      </c>
      <c r="AG47" s="6">
        <f t="shared" si="111"/>
        <v>588755</v>
      </c>
      <c r="AH47" s="6">
        <f t="shared" si="111"/>
        <v>776698</v>
      </c>
      <c r="AI47" s="6">
        <f t="shared" si="111"/>
        <v>182547</v>
      </c>
      <c r="AO47" s="15"/>
    </row>
    <row r="48" spans="1:41">
      <c r="A48" s="44" t="s">
        <v>2</v>
      </c>
      <c r="B48" s="44" t="s">
        <v>62</v>
      </c>
      <c r="C48" s="5">
        <v>285</v>
      </c>
      <c r="D48" s="5">
        <v>2326</v>
      </c>
      <c r="E48" s="5">
        <v>2465</v>
      </c>
      <c r="F48" s="5">
        <v>2612</v>
      </c>
      <c r="G48" s="5">
        <v>149</v>
      </c>
      <c r="H48" s="5">
        <v>2224</v>
      </c>
      <c r="I48" s="5">
        <v>2405</v>
      </c>
      <c r="J48" s="5">
        <v>2601</v>
      </c>
      <c r="K48" s="5">
        <v>198</v>
      </c>
      <c r="L48" s="5">
        <v>2682</v>
      </c>
      <c r="M48" s="5">
        <v>2939</v>
      </c>
      <c r="N48" s="5">
        <v>3214</v>
      </c>
      <c r="O48" s="5">
        <v>243</v>
      </c>
      <c r="P48" s="5">
        <v>3268</v>
      </c>
      <c r="Q48" s="5">
        <v>3542</v>
      </c>
      <c r="R48" s="5">
        <v>3678</v>
      </c>
      <c r="S48" s="5">
        <v>136</v>
      </c>
      <c r="T48" s="5">
        <v>2703</v>
      </c>
      <c r="U48" s="5">
        <v>3438</v>
      </c>
      <c r="V48" s="5">
        <v>3761</v>
      </c>
      <c r="W48" s="5">
        <v>299</v>
      </c>
      <c r="X48" s="5">
        <v>3060</v>
      </c>
      <c r="Y48" s="5">
        <v>3413</v>
      </c>
      <c r="Z48" s="5">
        <v>3796</v>
      </c>
      <c r="AA48" s="5">
        <v>205</v>
      </c>
      <c r="AB48" s="5">
        <v>3127</v>
      </c>
      <c r="AC48" s="5">
        <v>3278</v>
      </c>
      <c r="AD48" s="5">
        <v>3431</v>
      </c>
      <c r="AE48" s="5">
        <v>152</v>
      </c>
      <c r="AF48" s="5">
        <v>3389</v>
      </c>
      <c r="AG48" s="5">
        <v>3539</v>
      </c>
      <c r="AH48" s="5">
        <v>3626</v>
      </c>
      <c r="AI48" s="5">
        <v>85</v>
      </c>
      <c r="AM48" s="15"/>
      <c r="AO48" s="15"/>
    </row>
    <row r="49" spans="1:41" ht="36">
      <c r="A49" s="44" t="s">
        <v>196</v>
      </c>
      <c r="B49" s="44" t="s">
        <v>197</v>
      </c>
      <c r="C49" s="5">
        <v>332</v>
      </c>
      <c r="D49" s="5">
        <v>4181</v>
      </c>
      <c r="E49" s="5">
        <v>9219</v>
      </c>
      <c r="F49" s="5">
        <v>25288</v>
      </c>
      <c r="G49" s="5">
        <v>3160</v>
      </c>
      <c r="H49" s="5">
        <v>8599</v>
      </c>
      <c r="I49" s="5">
        <v>15677</v>
      </c>
      <c r="J49" s="5">
        <v>18897</v>
      </c>
      <c r="K49" s="5">
        <v>14921</v>
      </c>
      <c r="L49" s="5">
        <v>29304</v>
      </c>
      <c r="M49" s="5">
        <v>34309</v>
      </c>
      <c r="N49" s="5">
        <v>38027</v>
      </c>
      <c r="O49" s="5">
        <v>13747</v>
      </c>
      <c r="P49" s="5">
        <v>48920</v>
      </c>
      <c r="Q49" s="5">
        <v>78023</v>
      </c>
      <c r="R49" s="5">
        <v>128082</v>
      </c>
      <c r="S49" s="5">
        <v>863</v>
      </c>
      <c r="T49" s="5">
        <v>9265</v>
      </c>
      <c r="U49" s="5">
        <v>10238</v>
      </c>
      <c r="V49" s="5">
        <v>9669</v>
      </c>
      <c r="W49" s="5">
        <v>-719</v>
      </c>
      <c r="X49" s="5">
        <v>-1493</v>
      </c>
      <c r="Y49" s="5">
        <v>-1968</v>
      </c>
      <c r="Z49" s="5">
        <v>-2606</v>
      </c>
      <c r="AA49" s="5">
        <v>546223</v>
      </c>
      <c r="AB49" s="5">
        <v>540643</v>
      </c>
      <c r="AC49" s="5">
        <v>539781</v>
      </c>
      <c r="AD49" s="5">
        <v>538922</v>
      </c>
      <c r="AE49" s="5">
        <v>-414</v>
      </c>
      <c r="AF49" s="5">
        <v>-733</v>
      </c>
      <c r="AG49" s="5">
        <v>-1133</v>
      </c>
      <c r="AH49" s="5">
        <v>-1982</v>
      </c>
      <c r="AI49" s="5">
        <v>-1448</v>
      </c>
      <c r="AO49" s="15"/>
    </row>
    <row r="50" spans="1:41" ht="24">
      <c r="A50" s="44" t="s">
        <v>500</v>
      </c>
      <c r="B50" s="44" t="s">
        <v>649</v>
      </c>
      <c r="C50" s="5">
        <v>-1020</v>
      </c>
      <c r="D50" s="5">
        <v>743</v>
      </c>
      <c r="E50" s="5">
        <v>908</v>
      </c>
      <c r="F50" s="5">
        <v>2188</v>
      </c>
      <c r="G50" s="5">
        <v>8775</v>
      </c>
      <c r="H50" s="5">
        <v>12658</v>
      </c>
      <c r="I50" s="5">
        <v>15853</v>
      </c>
      <c r="J50" s="5">
        <v>21356</v>
      </c>
      <c r="K50" s="5">
        <v>1736</v>
      </c>
      <c r="L50" s="5">
        <v>3489</v>
      </c>
      <c r="M50" s="5">
        <v>4981</v>
      </c>
      <c r="N50" s="5">
        <v>5719</v>
      </c>
      <c r="O50" s="5">
        <f>9734-O84</f>
        <v>9734</v>
      </c>
      <c r="P50" s="5">
        <f>32139-P84</f>
        <v>32139</v>
      </c>
      <c r="Q50" s="5">
        <f>40055-Q84</f>
        <v>40055</v>
      </c>
      <c r="R50" s="5">
        <f>47896-R84</f>
        <v>47896</v>
      </c>
      <c r="S50" s="5">
        <f>-1014-S84</f>
        <v>-1014</v>
      </c>
      <c r="T50" s="5">
        <v>-6033</v>
      </c>
      <c r="U50" s="5">
        <v>-7145</v>
      </c>
      <c r="V50" s="5">
        <v>-9296</v>
      </c>
      <c r="W50" s="5">
        <v>-2735</v>
      </c>
      <c r="X50" s="5">
        <v>-5167</v>
      </c>
      <c r="Y50" s="5">
        <v>1494</v>
      </c>
      <c r="Z50" s="5">
        <v>-312</v>
      </c>
      <c r="AA50" s="5">
        <v>3135</v>
      </c>
      <c r="AB50" s="5">
        <v>1434</v>
      </c>
      <c r="AC50" s="5">
        <v>-2316</v>
      </c>
      <c r="AD50" s="5">
        <v>48420</v>
      </c>
      <c r="AE50" s="5">
        <v>1355</v>
      </c>
      <c r="AF50" s="5">
        <v>-2189</v>
      </c>
      <c r="AG50" s="5">
        <v>-4767</v>
      </c>
      <c r="AH50" s="5">
        <v>-7206</v>
      </c>
      <c r="AI50" s="5">
        <v>12996</v>
      </c>
      <c r="AM50" s="15"/>
      <c r="AO50" s="15"/>
    </row>
    <row r="51" spans="1:41" ht="36">
      <c r="A51" s="44" t="s">
        <v>292</v>
      </c>
      <c r="B51" s="44" t="s">
        <v>293</v>
      </c>
      <c r="C51" s="5">
        <v>0</v>
      </c>
      <c r="D51" s="5">
        <v>0</v>
      </c>
      <c r="E51" s="5">
        <v>0</v>
      </c>
      <c r="F51" s="5">
        <v>0</v>
      </c>
      <c r="G51" s="5">
        <f>-2283-G65</f>
        <v>853</v>
      </c>
      <c r="H51" s="5">
        <f>-828-H65</f>
        <v>7374</v>
      </c>
      <c r="I51" s="5">
        <f>-1784-I65</f>
        <v>11534</v>
      </c>
      <c r="J51" s="5">
        <f>-6375-J65</f>
        <v>13555</v>
      </c>
      <c r="K51" s="5">
        <f>4053-K65</f>
        <v>8982</v>
      </c>
      <c r="L51" s="5">
        <f>10532-L65</f>
        <v>15633</v>
      </c>
      <c r="M51" s="5">
        <f>52527-M65</f>
        <v>65428</v>
      </c>
      <c r="N51" s="5">
        <f>65703-N65</f>
        <v>89104</v>
      </c>
      <c r="O51" s="5">
        <f>-11679-O65</f>
        <v>0</v>
      </c>
      <c r="P51" s="5">
        <f>-18930-P65</f>
        <v>7487</v>
      </c>
      <c r="Q51" s="5">
        <f>-13153-Q65</f>
        <v>19018.687140000002</v>
      </c>
      <c r="R51" s="5">
        <f>38576-R65</f>
        <v>81496.348800000007</v>
      </c>
      <c r="S51" s="5">
        <f>8116-S65</f>
        <v>4037</v>
      </c>
      <c r="T51" s="5">
        <f>10460-T65</f>
        <v>16451</v>
      </c>
      <c r="U51" s="5">
        <f>53808-U65</f>
        <v>14603</v>
      </c>
      <c r="V51" s="5">
        <f>124538-V65</f>
        <v>84657</v>
      </c>
      <c r="W51" s="5">
        <f>10826-W65</f>
        <v>8745</v>
      </c>
      <c r="X51" s="5">
        <f>2341-X65</f>
        <v>-3229</v>
      </c>
      <c r="Y51" s="5">
        <v>-2603</v>
      </c>
      <c r="Z51" s="5">
        <f>25696-Z65</f>
        <v>13193</v>
      </c>
      <c r="AA51" s="5">
        <f>5901+2671</f>
        <v>8572</v>
      </c>
      <c r="AB51" s="5">
        <f>7266-(-2242)</f>
        <v>9508</v>
      </c>
      <c r="AC51" s="5">
        <f>11598+272</f>
        <v>11870</v>
      </c>
      <c r="AD51" s="5">
        <f>12359+958</f>
        <v>13317</v>
      </c>
      <c r="AE51" s="5">
        <f>10717-3706</f>
        <v>7011</v>
      </c>
      <c r="AF51" s="5">
        <f>5798-3586</f>
        <v>2212</v>
      </c>
      <c r="AG51" s="5">
        <f>9871-3173</f>
        <v>6698</v>
      </c>
      <c r="AH51" s="5">
        <f>19134-745</f>
        <v>18389</v>
      </c>
      <c r="AI51" s="5">
        <f>2502-179</f>
        <v>2323</v>
      </c>
      <c r="AL51" s="15"/>
      <c r="AM51" s="15"/>
      <c r="AO51" s="15"/>
    </row>
    <row r="52" spans="1:41" ht="15.75" customHeight="1">
      <c r="A52" s="44" t="s">
        <v>200</v>
      </c>
      <c r="B52" s="44" t="s">
        <v>201</v>
      </c>
      <c r="C52" s="5">
        <v>-4072</v>
      </c>
      <c r="D52" s="5">
        <v>-8589</v>
      </c>
      <c r="E52" s="5">
        <v>-12707</v>
      </c>
      <c r="F52" s="5">
        <v>-20377</v>
      </c>
      <c r="G52" s="5">
        <v>-5429</v>
      </c>
      <c r="H52" s="5">
        <v>-9958</v>
      </c>
      <c r="I52" s="5">
        <v>-14907</v>
      </c>
      <c r="J52" s="5">
        <v>-20037</v>
      </c>
      <c r="K52" s="5">
        <v>-4821</v>
      </c>
      <c r="L52" s="5">
        <v>-9951</v>
      </c>
      <c r="M52" s="5">
        <v>-15638</v>
      </c>
      <c r="N52" s="5">
        <v>-19821</v>
      </c>
      <c r="O52" s="5">
        <v>-4514</v>
      </c>
      <c r="P52" s="5">
        <v>-8032</v>
      </c>
      <c r="Q52" s="5">
        <v>-10740</v>
      </c>
      <c r="R52" s="5">
        <v>-10259</v>
      </c>
      <c r="S52" s="5">
        <v>890</v>
      </c>
      <c r="T52" s="5">
        <v>-274</v>
      </c>
      <c r="U52" s="5">
        <v>-1754</v>
      </c>
      <c r="V52" s="5">
        <v>-3185</v>
      </c>
      <c r="W52" s="5">
        <v>-2670</v>
      </c>
      <c r="X52" s="5">
        <v>-3347</v>
      </c>
      <c r="Y52" s="5">
        <v>-5578</v>
      </c>
      <c r="Z52" s="5">
        <v>-7130</v>
      </c>
      <c r="AA52" s="5">
        <v>322</v>
      </c>
      <c r="AB52" s="5">
        <v>309</v>
      </c>
      <c r="AC52" s="5">
        <v>1517</v>
      </c>
      <c r="AD52" s="5">
        <v>1160</v>
      </c>
      <c r="AE52" s="5">
        <v>-1247</v>
      </c>
      <c r="AF52" s="5">
        <v>-1456</v>
      </c>
      <c r="AG52" s="5">
        <v>201</v>
      </c>
      <c r="AH52" s="5">
        <v>1544</v>
      </c>
      <c r="AI52" s="5">
        <v>-683</v>
      </c>
      <c r="AM52" s="15"/>
      <c r="AO52" s="15"/>
    </row>
    <row r="53" spans="1:41">
      <c r="A53" s="44" t="s">
        <v>202</v>
      </c>
      <c r="B53" s="44" t="s">
        <v>63</v>
      </c>
      <c r="C53" s="5">
        <v>40068</v>
      </c>
      <c r="D53" s="5">
        <v>81486</v>
      </c>
      <c r="E53" s="5">
        <v>124893</v>
      </c>
      <c r="F53" s="5">
        <v>169518</v>
      </c>
      <c r="G53" s="5">
        <v>36975</v>
      </c>
      <c r="H53" s="5">
        <v>74043</v>
      </c>
      <c r="I53" s="5">
        <v>110486</v>
      </c>
      <c r="J53" s="5">
        <v>151620</v>
      </c>
      <c r="K53" s="5">
        <v>32903</v>
      </c>
      <c r="L53" s="5">
        <v>78677</v>
      </c>
      <c r="M53" s="5">
        <v>124140</v>
      </c>
      <c r="N53" s="5">
        <v>163147</v>
      </c>
      <c r="O53" s="5">
        <v>43684</v>
      </c>
      <c r="P53" s="5">
        <v>71633</v>
      </c>
      <c r="Q53" s="5">
        <v>106236</v>
      </c>
      <c r="R53" s="5">
        <v>120521</v>
      </c>
      <c r="S53" s="5">
        <v>23155</v>
      </c>
      <c r="T53" s="5">
        <v>12312</v>
      </c>
      <c r="U53" s="5">
        <v>-76861</v>
      </c>
      <c r="V53" s="5">
        <v>-148999</v>
      </c>
      <c r="W53" s="5">
        <v>-63141</v>
      </c>
      <c r="X53" s="5">
        <v>-123015</v>
      </c>
      <c r="Y53" s="5">
        <v>-185187</v>
      </c>
      <c r="Z53" s="5">
        <v>-203544</v>
      </c>
      <c r="AA53" s="5">
        <v>-8223</v>
      </c>
      <c r="AB53" s="5">
        <v>-20757</v>
      </c>
      <c r="AC53" s="5">
        <v>-46955</v>
      </c>
      <c r="AD53" s="5">
        <v>-75968</v>
      </c>
      <c r="AE53" s="5">
        <v>-46617</v>
      </c>
      <c r="AF53" s="5">
        <v>-86601</v>
      </c>
      <c r="AG53" s="5">
        <v>-119242</v>
      </c>
      <c r="AH53" s="5">
        <v>-178868</v>
      </c>
      <c r="AI53" s="5">
        <v>33320</v>
      </c>
      <c r="AM53" s="15"/>
      <c r="AO53" s="15"/>
    </row>
    <row r="54" spans="1:41">
      <c r="A54" s="44" t="s">
        <v>3</v>
      </c>
      <c r="B54" s="44" t="s">
        <v>203</v>
      </c>
      <c r="C54" s="5">
        <v>25458</v>
      </c>
      <c r="D54" s="5">
        <v>36438</v>
      </c>
      <c r="E54" s="5">
        <v>57362</v>
      </c>
      <c r="F54" s="5">
        <v>69909</v>
      </c>
      <c r="G54" s="5">
        <v>13733</v>
      </c>
      <c r="H54" s="5">
        <v>24891</v>
      </c>
      <c r="I54" s="5">
        <v>34633</v>
      </c>
      <c r="J54" s="5">
        <v>50710</v>
      </c>
      <c r="K54" s="5">
        <v>39518</v>
      </c>
      <c r="L54" s="5">
        <v>51665</v>
      </c>
      <c r="M54" s="5">
        <v>80131</v>
      </c>
      <c r="N54" s="5">
        <v>97582</v>
      </c>
      <c r="O54" s="5">
        <v>12593</v>
      </c>
      <c r="P54" s="5">
        <v>64677</v>
      </c>
      <c r="Q54" s="5">
        <v>88575</v>
      </c>
      <c r="R54" s="5">
        <v>160766</v>
      </c>
      <c r="S54" s="5">
        <v>43636</v>
      </c>
      <c r="T54" s="5">
        <v>116440</v>
      </c>
      <c r="U54" s="5">
        <v>210689</v>
      </c>
      <c r="V54" s="5">
        <v>317295</v>
      </c>
      <c r="W54" s="5">
        <v>73597</v>
      </c>
      <c r="X54" s="5">
        <v>140978</v>
      </c>
      <c r="Y54" s="5">
        <v>210701</v>
      </c>
      <c r="Z54" s="5">
        <v>276245</v>
      </c>
      <c r="AA54" s="5">
        <v>116108</v>
      </c>
      <c r="AB54" s="5">
        <v>184596</v>
      </c>
      <c r="AC54" s="5">
        <v>315774</v>
      </c>
      <c r="AD54" s="5">
        <v>458982</v>
      </c>
      <c r="AE54" s="5">
        <v>67831</v>
      </c>
      <c r="AF54" s="5">
        <v>169678</v>
      </c>
      <c r="AG54" s="5">
        <v>275958</v>
      </c>
      <c r="AH54" s="5">
        <v>374196</v>
      </c>
      <c r="AI54" s="5">
        <v>62773</v>
      </c>
      <c r="AM54" s="15"/>
      <c r="AO54" s="15"/>
    </row>
    <row r="55" spans="1:41">
      <c r="A55" s="44" t="s">
        <v>6</v>
      </c>
      <c r="B55" s="44" t="s">
        <v>204</v>
      </c>
      <c r="C55" s="5">
        <v>-15466</v>
      </c>
      <c r="D55" s="5">
        <v>-28508</v>
      </c>
      <c r="E55" s="5">
        <v>-48600</v>
      </c>
      <c r="F55" s="5">
        <v>-77950</v>
      </c>
      <c r="G55" s="5">
        <v>-10986</v>
      </c>
      <c r="H55" s="5">
        <v>-24058</v>
      </c>
      <c r="I55" s="5">
        <v>-34346</v>
      </c>
      <c r="J55" s="5">
        <v>-50028</v>
      </c>
      <c r="K55" s="5">
        <v>-16106</v>
      </c>
      <c r="L55" s="5">
        <v>-30919</v>
      </c>
      <c r="M55" s="5">
        <v>-85269</v>
      </c>
      <c r="N55" s="5">
        <v>-103989</v>
      </c>
      <c r="O55" s="5">
        <v>-25060</v>
      </c>
      <c r="P55" s="5">
        <v>-115802</v>
      </c>
      <c r="Q55" s="5">
        <v>-136914</v>
      </c>
      <c r="R55" s="5">
        <v>-249060</v>
      </c>
      <c r="S55" s="5">
        <v>-29020</v>
      </c>
      <c r="T55" s="5">
        <v>-52672</v>
      </c>
      <c r="U55" s="5">
        <v>-79869</v>
      </c>
      <c r="V55" s="5">
        <v>-239510</v>
      </c>
      <c r="W55" s="5">
        <v>-35328</v>
      </c>
      <c r="X55" s="5">
        <v>-77907</v>
      </c>
      <c r="Y55" s="5">
        <v>-136303</v>
      </c>
      <c r="Z55" s="5">
        <v>-216720</v>
      </c>
      <c r="AA55" s="5">
        <v>-72187</v>
      </c>
      <c r="AB55" s="5">
        <v>-146906</v>
      </c>
      <c r="AC55" s="5">
        <v>-228732</v>
      </c>
      <c r="AD55" s="5">
        <v>-301614</v>
      </c>
      <c r="AE55" s="5">
        <v>-165238</v>
      </c>
      <c r="AF55" s="5">
        <v>-269601</v>
      </c>
      <c r="AG55" s="5">
        <v>-374073</v>
      </c>
      <c r="AH55" s="5">
        <v>-520325</v>
      </c>
      <c r="AI55" s="5">
        <v>-89332</v>
      </c>
      <c r="AO55" s="15"/>
    </row>
    <row r="56" spans="1:41">
      <c r="A56" s="46" t="s">
        <v>249</v>
      </c>
      <c r="B56" s="46" t="s">
        <v>248</v>
      </c>
      <c r="C56" s="6">
        <f t="shared" ref="C56:J56" si="112">SUM(C47:C55,C44)</f>
        <v>622865</v>
      </c>
      <c r="D56" s="6">
        <f t="shared" si="112"/>
        <v>1257779</v>
      </c>
      <c r="E56" s="6">
        <f t="shared" si="112"/>
        <v>1915403</v>
      </c>
      <c r="F56" s="6">
        <f t="shared" si="112"/>
        <v>2571601</v>
      </c>
      <c r="G56" s="6">
        <f t="shared" si="112"/>
        <v>656427</v>
      </c>
      <c r="H56" s="6">
        <f t="shared" si="112"/>
        <v>1325306</v>
      </c>
      <c r="I56" s="6">
        <f t="shared" si="112"/>
        <v>2014897</v>
      </c>
      <c r="J56" s="6">
        <f t="shared" si="112"/>
        <v>2727637</v>
      </c>
      <c r="K56" s="6">
        <f t="shared" ref="K56:AI56" si="113">SUM(K47:K55,K44)</f>
        <v>740836</v>
      </c>
      <c r="L56" s="6">
        <f t="shared" si="113"/>
        <v>1563441.3746135801</v>
      </c>
      <c r="M56" s="6">
        <f t="shared" si="113"/>
        <v>2517379</v>
      </c>
      <c r="N56" s="6">
        <f t="shared" si="113"/>
        <v>3471523</v>
      </c>
      <c r="O56" s="6">
        <f t="shared" si="113"/>
        <v>920727</v>
      </c>
      <c r="P56" s="6">
        <f t="shared" si="113"/>
        <v>1781042</v>
      </c>
      <c r="Q56" s="6">
        <f t="shared" si="113"/>
        <v>2668290.6871400001</v>
      </c>
      <c r="R56" s="6">
        <f t="shared" si="113"/>
        <v>3577776.3487999998</v>
      </c>
      <c r="S56" s="6">
        <f t="shared" si="113"/>
        <v>866960</v>
      </c>
      <c r="T56" s="6">
        <f t="shared" si="113"/>
        <v>1789445</v>
      </c>
      <c r="U56" s="6">
        <f t="shared" si="113"/>
        <v>2635035</v>
      </c>
      <c r="V56" s="6">
        <f t="shared" si="113"/>
        <v>3558147</v>
      </c>
      <c r="W56" s="6">
        <f t="shared" si="113"/>
        <v>1159903</v>
      </c>
      <c r="X56" s="6">
        <f t="shared" si="113"/>
        <v>2496739</v>
      </c>
      <c r="Y56" s="6">
        <f t="shared" si="113"/>
        <v>2478689</v>
      </c>
      <c r="Z56" s="6">
        <f t="shared" si="113"/>
        <v>4008518</v>
      </c>
      <c r="AA56" s="6">
        <f t="shared" si="113"/>
        <v>2057211</v>
      </c>
      <c r="AB56" s="6">
        <f t="shared" si="113"/>
        <v>3573856</v>
      </c>
      <c r="AC56" s="6">
        <f t="shared" si="113"/>
        <v>5155838</v>
      </c>
      <c r="AD56" s="6">
        <f t="shared" si="113"/>
        <v>6722524</v>
      </c>
      <c r="AE56" s="6">
        <f t="shared" si="113"/>
        <v>1416660</v>
      </c>
      <c r="AF56" s="6">
        <f t="shared" si="113"/>
        <v>2740637</v>
      </c>
      <c r="AG56" s="6">
        <f t="shared" si="113"/>
        <v>4400835</v>
      </c>
      <c r="AH56" s="6">
        <f t="shared" si="113"/>
        <v>5996016</v>
      </c>
      <c r="AI56" s="6">
        <f t="shared" si="113"/>
        <v>1626036</v>
      </c>
      <c r="AO56" s="15"/>
    </row>
    <row r="57" spans="1:41">
      <c r="A57" s="44" t="s">
        <v>205</v>
      </c>
      <c r="B57" s="44" t="s">
        <v>206</v>
      </c>
      <c r="C57" s="5">
        <v>-301331</v>
      </c>
      <c r="D57" s="5">
        <v>-580809</v>
      </c>
      <c r="E57" s="5">
        <v>-858329</v>
      </c>
      <c r="F57" s="5">
        <v>-1149723</v>
      </c>
      <c r="G57" s="5">
        <v>-316822</v>
      </c>
      <c r="H57" s="5">
        <v>-605603</v>
      </c>
      <c r="I57" s="5">
        <v>-908373</v>
      </c>
      <c r="J57" s="5">
        <v>-1213765</v>
      </c>
      <c r="K57" s="5">
        <v>-351056</v>
      </c>
      <c r="L57" s="5">
        <v>-682988</v>
      </c>
      <c r="M57" s="5">
        <v>-1109436</v>
      </c>
      <c r="N57" s="5">
        <v>-1545183</v>
      </c>
      <c r="O57" s="5">
        <v>-464566</v>
      </c>
      <c r="P57" s="5">
        <v>-815812</v>
      </c>
      <c r="Q57" s="5">
        <v>-1176160</v>
      </c>
      <c r="R57" s="5">
        <v>-1542379</v>
      </c>
      <c r="S57" s="5">
        <v>-375885</v>
      </c>
      <c r="T57" s="5">
        <v>-705189</v>
      </c>
      <c r="U57" s="5">
        <v>-1057305</v>
      </c>
      <c r="V57" s="5">
        <v>-1440706</v>
      </c>
      <c r="W57" s="5">
        <v>-434626</v>
      </c>
      <c r="X57" s="5">
        <v>-1058829</v>
      </c>
      <c r="Y57" s="5">
        <v>-1468157</v>
      </c>
      <c r="Z57" s="5">
        <v>-1884259</v>
      </c>
      <c r="AA57" s="5">
        <v>-469294</v>
      </c>
      <c r="AB57" s="5">
        <v>-864529</v>
      </c>
      <c r="AC57" s="5">
        <v>-1305103</v>
      </c>
      <c r="AD57" s="5">
        <v>-1781439</v>
      </c>
      <c r="AE57" s="5">
        <v>-544039</v>
      </c>
      <c r="AF57" s="5">
        <v>-993752</v>
      </c>
      <c r="AG57" s="5">
        <v>-1489393</v>
      </c>
      <c r="AH57" s="5">
        <v>-2026444</v>
      </c>
      <c r="AI57" s="5">
        <v>-611257</v>
      </c>
      <c r="AO57" s="15"/>
    </row>
    <row r="58" spans="1:41">
      <c r="A58" s="44" t="s">
        <v>207</v>
      </c>
      <c r="B58" s="44" t="s">
        <v>208</v>
      </c>
      <c r="C58" s="7">
        <v>-13119</v>
      </c>
      <c r="D58" s="7">
        <v>-26859</v>
      </c>
      <c r="E58" s="7">
        <v>-39854</v>
      </c>
      <c r="F58" s="7">
        <v>-52971</v>
      </c>
      <c r="G58" s="7">
        <v>-13409</v>
      </c>
      <c r="H58" s="7">
        <v>-26615</v>
      </c>
      <c r="I58" s="7">
        <v>-39869</v>
      </c>
      <c r="J58" s="7">
        <v>-54227</v>
      </c>
      <c r="K58" s="7">
        <v>-33412</v>
      </c>
      <c r="L58" s="7">
        <v>-73039</v>
      </c>
      <c r="M58" s="7">
        <v>-126661</v>
      </c>
      <c r="N58" s="7">
        <v>-180872</v>
      </c>
      <c r="O58" s="7">
        <v>-53340</v>
      </c>
      <c r="P58" s="7">
        <v>-107213</v>
      </c>
      <c r="Q58" s="7">
        <v>-158956</v>
      </c>
      <c r="R58" s="7">
        <v>-210411</v>
      </c>
      <c r="S58" s="7">
        <v>-51448</v>
      </c>
      <c r="T58" s="7">
        <v>-100675</v>
      </c>
      <c r="U58" s="7">
        <v>-150870</v>
      </c>
      <c r="V58" s="7">
        <v>-201595</v>
      </c>
      <c r="W58" s="7">
        <v>-51602</v>
      </c>
      <c r="X58" s="7">
        <v>-104227</v>
      </c>
      <c r="Y58" s="7">
        <v>-156446</v>
      </c>
      <c r="Z58" s="7">
        <v>-208922</v>
      </c>
      <c r="AA58" s="7">
        <v>-52521</v>
      </c>
      <c r="AB58" s="7">
        <v>-105446</v>
      </c>
      <c r="AC58" s="7">
        <v>-158684</v>
      </c>
      <c r="AD58" s="7">
        <v>-211517</v>
      </c>
      <c r="AE58" s="7">
        <v>-54291</v>
      </c>
      <c r="AF58" s="7">
        <v>-109509</v>
      </c>
      <c r="AG58" s="7">
        <v>-167001</v>
      </c>
      <c r="AH58" s="7">
        <v>-226191</v>
      </c>
      <c r="AI58" s="7">
        <v>-56695</v>
      </c>
      <c r="AM58" s="15"/>
      <c r="AO58" s="15"/>
    </row>
    <row r="59" spans="1:41">
      <c r="A59" s="46" t="s">
        <v>250</v>
      </c>
      <c r="B59" s="46" t="s">
        <v>251</v>
      </c>
      <c r="C59" s="6">
        <f t="shared" ref="C59:J59" si="114">SUM(C57:C58)</f>
        <v>-314450</v>
      </c>
      <c r="D59" s="6">
        <f t="shared" si="114"/>
        <v>-607668</v>
      </c>
      <c r="E59" s="6">
        <f t="shared" si="114"/>
        <v>-898183</v>
      </c>
      <c r="F59" s="6">
        <f t="shared" si="114"/>
        <v>-1202694</v>
      </c>
      <c r="G59" s="6">
        <f t="shared" si="114"/>
        <v>-330231</v>
      </c>
      <c r="H59" s="6">
        <f t="shared" si="114"/>
        <v>-632218</v>
      </c>
      <c r="I59" s="6">
        <f t="shared" si="114"/>
        <v>-948242</v>
      </c>
      <c r="J59" s="6">
        <f t="shared" si="114"/>
        <v>-1267992</v>
      </c>
      <c r="K59" s="6">
        <f t="shared" ref="K59:AI59" si="115">SUM(K57:K58)</f>
        <v>-384468</v>
      </c>
      <c r="L59" s="6">
        <f t="shared" si="115"/>
        <v>-756027</v>
      </c>
      <c r="M59" s="6">
        <f t="shared" si="115"/>
        <v>-1236097</v>
      </c>
      <c r="N59" s="6">
        <f t="shared" si="115"/>
        <v>-1726055</v>
      </c>
      <c r="O59" s="6">
        <f t="shared" si="115"/>
        <v>-517906</v>
      </c>
      <c r="P59" s="6">
        <f t="shared" si="115"/>
        <v>-923025</v>
      </c>
      <c r="Q59" s="6">
        <f t="shared" si="115"/>
        <v>-1335116</v>
      </c>
      <c r="R59" s="6">
        <f t="shared" si="115"/>
        <v>-1752790</v>
      </c>
      <c r="S59" s="6">
        <f t="shared" si="115"/>
        <v>-427333</v>
      </c>
      <c r="T59" s="6">
        <f t="shared" si="115"/>
        <v>-805864</v>
      </c>
      <c r="U59" s="6">
        <f t="shared" si="115"/>
        <v>-1208175</v>
      </c>
      <c r="V59" s="6">
        <f t="shared" si="115"/>
        <v>-1642301</v>
      </c>
      <c r="W59" s="6">
        <f t="shared" si="115"/>
        <v>-486228</v>
      </c>
      <c r="X59" s="6">
        <f t="shared" si="115"/>
        <v>-1163056</v>
      </c>
      <c r="Y59" s="6">
        <f t="shared" si="115"/>
        <v>-1624603</v>
      </c>
      <c r="Z59" s="6">
        <f t="shared" si="115"/>
        <v>-2093181</v>
      </c>
      <c r="AA59" s="6">
        <f t="shared" si="115"/>
        <v>-521815</v>
      </c>
      <c r="AB59" s="6">
        <f t="shared" si="115"/>
        <v>-969975</v>
      </c>
      <c r="AC59" s="6">
        <f t="shared" si="115"/>
        <v>-1463787</v>
      </c>
      <c r="AD59" s="6">
        <f t="shared" si="115"/>
        <v>-1992956</v>
      </c>
      <c r="AE59" s="6">
        <f t="shared" si="115"/>
        <v>-598330</v>
      </c>
      <c r="AF59" s="6">
        <f t="shared" si="115"/>
        <v>-1103261</v>
      </c>
      <c r="AG59" s="6">
        <f t="shared" si="115"/>
        <v>-1656394</v>
      </c>
      <c r="AH59" s="6">
        <f t="shared" si="115"/>
        <v>-2252635</v>
      </c>
      <c r="AI59" s="6">
        <f t="shared" si="115"/>
        <v>-667952</v>
      </c>
      <c r="AM59" s="15"/>
      <c r="AO59" s="15"/>
    </row>
    <row r="60" spans="1:41">
      <c r="A60" s="44" t="s">
        <v>4</v>
      </c>
      <c r="B60" s="44" t="s">
        <v>64</v>
      </c>
      <c r="C60" s="5">
        <v>-59501</v>
      </c>
      <c r="D60" s="5">
        <v>-122280</v>
      </c>
      <c r="E60" s="5">
        <v>-191456</v>
      </c>
      <c r="F60" s="5">
        <v>-254159</v>
      </c>
      <c r="G60" s="5">
        <v>-47651</v>
      </c>
      <c r="H60" s="5">
        <v>-97789</v>
      </c>
      <c r="I60" s="5">
        <v>-149835</v>
      </c>
      <c r="J60" s="5">
        <v>-201967</v>
      </c>
      <c r="K60" s="5">
        <v>-63094</v>
      </c>
      <c r="L60" s="5">
        <v>-217180</v>
      </c>
      <c r="M60" s="5">
        <v>-342178</v>
      </c>
      <c r="N60" s="5">
        <v>-402743</v>
      </c>
      <c r="O60" s="5">
        <v>-121565</v>
      </c>
      <c r="P60" s="5">
        <v>-323634</v>
      </c>
      <c r="Q60" s="5">
        <v>-465739</v>
      </c>
      <c r="R60" s="5">
        <v>-556912</v>
      </c>
      <c r="S60" s="5">
        <v>-74370</v>
      </c>
      <c r="T60" s="5">
        <v>-115849</v>
      </c>
      <c r="U60" s="5">
        <v>-241368</v>
      </c>
      <c r="V60" s="5">
        <v>-318391</v>
      </c>
      <c r="W60" s="5">
        <v>-78762</v>
      </c>
      <c r="X60" s="5">
        <v>-147575</v>
      </c>
      <c r="Y60" s="5">
        <v>-261923</v>
      </c>
      <c r="Z60" s="5">
        <v>-342033</v>
      </c>
      <c r="AA60" s="5">
        <v>-109375</v>
      </c>
      <c r="AB60" s="5">
        <v>-152273</v>
      </c>
      <c r="AC60" s="5">
        <v>-203884</v>
      </c>
      <c r="AD60" s="5">
        <v>-262475</v>
      </c>
      <c r="AE60" s="5">
        <v>-110765</v>
      </c>
      <c r="AF60" s="5">
        <v>-172330</v>
      </c>
      <c r="AG60" s="5">
        <v>-278187</v>
      </c>
      <c r="AH60" s="5">
        <v>-271082</v>
      </c>
      <c r="AI60" s="5">
        <v>-78634</v>
      </c>
      <c r="AM60" s="15"/>
      <c r="AO60" s="15"/>
    </row>
    <row r="61" spans="1:41">
      <c r="A61" s="56" t="s">
        <v>403</v>
      </c>
      <c r="B61" s="56" t="s">
        <v>402</v>
      </c>
      <c r="C61" s="5"/>
      <c r="D61" s="5"/>
      <c r="E61" s="5"/>
      <c r="F61" s="5"/>
      <c r="G61" s="5"/>
      <c r="H61" s="5"/>
      <c r="I61" s="5"/>
      <c r="J61" s="5"/>
      <c r="K61" s="5">
        <v>0</v>
      </c>
      <c r="L61" s="5">
        <v>0</v>
      </c>
      <c r="M61" s="5">
        <v>0</v>
      </c>
      <c r="N61" s="5">
        <v>0</v>
      </c>
      <c r="O61" s="5">
        <v>-60000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M61" s="15"/>
      <c r="AO61" s="15"/>
    </row>
    <row r="62" spans="1:41">
      <c r="A62" s="44" t="s">
        <v>5</v>
      </c>
      <c r="B62" s="44" t="s">
        <v>65</v>
      </c>
      <c r="C62" s="5">
        <v>-230</v>
      </c>
      <c r="D62" s="5">
        <v>-421</v>
      </c>
      <c r="E62" s="5">
        <v>-943</v>
      </c>
      <c r="F62" s="5">
        <v>-1199</v>
      </c>
      <c r="G62" s="5">
        <v>-38</v>
      </c>
      <c r="H62" s="5">
        <v>-26</v>
      </c>
      <c r="I62" s="5">
        <v>-820</v>
      </c>
      <c r="J62" s="5">
        <v>-509</v>
      </c>
      <c r="K62" s="5">
        <v>-647</v>
      </c>
      <c r="L62" s="5">
        <v>-1300</v>
      </c>
      <c r="M62" s="5">
        <v>-2305</v>
      </c>
      <c r="N62" s="5">
        <v>-1193</v>
      </c>
      <c r="O62" s="5">
        <v>-1764</v>
      </c>
      <c r="P62" s="5">
        <v>-4591</v>
      </c>
      <c r="Q62" s="5">
        <v>-5178</v>
      </c>
      <c r="R62" s="5">
        <v>-7890</v>
      </c>
      <c r="S62" s="5">
        <v>-2377</v>
      </c>
      <c r="T62" s="5">
        <v>-4939</v>
      </c>
      <c r="U62" s="5">
        <v>-5387</v>
      </c>
      <c r="V62" s="5">
        <v>-7672</v>
      </c>
      <c r="W62" s="5">
        <v>-2622</v>
      </c>
      <c r="X62" s="5">
        <v>-2969</v>
      </c>
      <c r="Y62" s="5">
        <v>-2745</v>
      </c>
      <c r="Z62" s="5">
        <v>-3515</v>
      </c>
      <c r="AA62" s="5">
        <v>1733</v>
      </c>
      <c r="AB62" s="5">
        <v>230</v>
      </c>
      <c r="AC62" s="5">
        <v>-53</v>
      </c>
      <c r="AD62" s="5">
        <v>-84</v>
      </c>
      <c r="AE62" s="5">
        <v>-1885</v>
      </c>
      <c r="AF62" s="5">
        <v>-2096</v>
      </c>
      <c r="AG62" s="5">
        <v>-4353</v>
      </c>
      <c r="AH62" s="5">
        <v>-4274</v>
      </c>
      <c r="AI62" s="5">
        <v>-960</v>
      </c>
      <c r="AM62" s="15"/>
      <c r="AO62" s="15"/>
    </row>
    <row r="63" spans="1:41" ht="30.75" customHeight="1">
      <c r="A63" s="44" t="s">
        <v>328</v>
      </c>
      <c r="B63" s="44" t="s">
        <v>327</v>
      </c>
      <c r="C63" s="5"/>
      <c r="D63" s="5"/>
      <c r="E63" s="5"/>
      <c r="F63" s="5"/>
      <c r="G63" s="5"/>
      <c r="H63" s="5"/>
      <c r="I63" s="5"/>
      <c r="J63" s="5"/>
      <c r="K63" s="5">
        <v>0</v>
      </c>
      <c r="L63" s="5">
        <v>0</v>
      </c>
      <c r="M63" s="5">
        <v>0</v>
      </c>
      <c r="N63" s="5">
        <v>-223134</v>
      </c>
      <c r="O63" s="5">
        <v>-55325</v>
      </c>
      <c r="P63" s="5">
        <v>-168019</v>
      </c>
      <c r="Q63" s="5">
        <v>-297673</v>
      </c>
      <c r="R63" s="5">
        <v>-713617</v>
      </c>
      <c r="S63" s="5">
        <v>-533403</v>
      </c>
      <c r="T63" s="5">
        <v>-1047044</v>
      </c>
      <c r="U63" s="5">
        <v>-1573157</v>
      </c>
      <c r="V63" s="5">
        <v>-2305157</v>
      </c>
      <c r="W63" s="5">
        <v>-499180</v>
      </c>
      <c r="X63" s="5">
        <v>-1014630</v>
      </c>
      <c r="Y63" s="5">
        <v>-1512780</v>
      </c>
      <c r="Z63" s="5">
        <v>-2017320</v>
      </c>
      <c r="AA63" s="5">
        <v>-863650</v>
      </c>
      <c r="AB63" s="5">
        <v>-1620620</v>
      </c>
      <c r="AC63" s="5">
        <v>-2363800</v>
      </c>
      <c r="AD63" s="5">
        <v>-3065380</v>
      </c>
      <c r="AE63" s="5">
        <v>-548810</v>
      </c>
      <c r="AF63" s="5">
        <v>-1123590</v>
      </c>
      <c r="AG63" s="5">
        <v>-1656390</v>
      </c>
      <c r="AH63" s="5">
        <v>-2179070</v>
      </c>
      <c r="AI63" s="5">
        <v>-444790</v>
      </c>
      <c r="AM63" s="15"/>
    </row>
    <row r="64" spans="1:41">
      <c r="A64" s="44" t="s">
        <v>209</v>
      </c>
      <c r="B64" s="44" t="s">
        <v>210</v>
      </c>
      <c r="C64" s="5">
        <v>0</v>
      </c>
      <c r="D64" s="5">
        <v>0</v>
      </c>
      <c r="E64" s="5">
        <v>0</v>
      </c>
      <c r="F64" s="5">
        <v>0</v>
      </c>
      <c r="G64" s="5">
        <v>-4299</v>
      </c>
      <c r="H64" s="5">
        <v>-7363</v>
      </c>
      <c r="I64" s="5">
        <v>-10187</v>
      </c>
      <c r="J64" s="5">
        <v>-14157</v>
      </c>
      <c r="K64" s="5">
        <v>-3666</v>
      </c>
      <c r="L64" s="5">
        <v>-6635</v>
      </c>
      <c r="M64" s="5">
        <v>-9187</v>
      </c>
      <c r="N64" s="5">
        <v>-11663</v>
      </c>
      <c r="O64" s="5">
        <v>-1949</v>
      </c>
      <c r="P64" s="5">
        <v>-8232</v>
      </c>
      <c r="Q64" s="5">
        <v>-10090</v>
      </c>
      <c r="R64" s="5">
        <v>-13565</v>
      </c>
      <c r="S64" s="5">
        <v>-3545</v>
      </c>
      <c r="T64" s="5">
        <v>-6731</v>
      </c>
      <c r="U64" s="5">
        <v>-9436</v>
      </c>
      <c r="V64" s="5">
        <v>-12839</v>
      </c>
      <c r="W64" s="5">
        <v>-3777</v>
      </c>
      <c r="X64" s="5">
        <v>-8804</v>
      </c>
      <c r="Y64" s="5">
        <v>-65411</v>
      </c>
      <c r="Z64" s="5">
        <v>-126664</v>
      </c>
      <c r="AA64" s="5">
        <v>-27832</v>
      </c>
      <c r="AB64" s="5">
        <v>-53550</v>
      </c>
      <c r="AC64" s="5">
        <v>-67861</v>
      </c>
      <c r="AD64" s="5">
        <v>-88184</v>
      </c>
      <c r="AE64" s="5">
        <v>-31283</v>
      </c>
      <c r="AF64" s="5">
        <v>-61849</v>
      </c>
      <c r="AG64" s="5">
        <v>-111424</v>
      </c>
      <c r="AH64" s="5">
        <v>-182257</v>
      </c>
      <c r="AI64" s="5">
        <v>-17507</v>
      </c>
      <c r="AM64" s="15"/>
      <c r="AO64" s="15"/>
    </row>
    <row r="65" spans="1:41" ht="24">
      <c r="A65" s="44" t="s">
        <v>294</v>
      </c>
      <c r="B65" s="44" t="s">
        <v>295</v>
      </c>
      <c r="C65" s="5">
        <v>0</v>
      </c>
      <c r="D65" s="5">
        <v>0</v>
      </c>
      <c r="E65" s="5">
        <v>0</v>
      </c>
      <c r="F65" s="5">
        <v>0</v>
      </c>
      <c r="G65" s="5">
        <v>-3136</v>
      </c>
      <c r="H65" s="5">
        <v>-8202</v>
      </c>
      <c r="I65" s="5">
        <v>-13318</v>
      </c>
      <c r="J65" s="5">
        <v>-19930</v>
      </c>
      <c r="K65" s="5">
        <v>-4929</v>
      </c>
      <c r="L65" s="5">
        <v>-5101</v>
      </c>
      <c r="M65" s="5">
        <v>-12901</v>
      </c>
      <c r="N65" s="5">
        <v>-23401</v>
      </c>
      <c r="O65" s="5">
        <v>-11679</v>
      </c>
      <c r="P65" s="5">
        <v>-26417</v>
      </c>
      <c r="Q65" s="5">
        <v>-32171.687140000002</v>
      </c>
      <c r="R65" s="5">
        <v>-42920.3488</v>
      </c>
      <c r="S65" s="5">
        <v>4079</v>
      </c>
      <c r="T65" s="5">
        <v>-5991</v>
      </c>
      <c r="U65" s="5">
        <v>39205</v>
      </c>
      <c r="V65" s="5">
        <v>39881</v>
      </c>
      <c r="W65" s="5">
        <v>2081</v>
      </c>
      <c r="X65" s="5">
        <v>5570</v>
      </c>
      <c r="Y65" s="5">
        <v>13629</v>
      </c>
      <c r="Z65" s="5">
        <v>12503</v>
      </c>
      <c r="AA65" s="5">
        <v>-2671</v>
      </c>
      <c r="AB65" s="5">
        <v>-2242</v>
      </c>
      <c r="AC65" s="5">
        <v>-272</v>
      </c>
      <c r="AD65" s="5">
        <v>-958</v>
      </c>
      <c r="AE65" s="5">
        <v>3706</v>
      </c>
      <c r="AF65" s="5">
        <v>3586</v>
      </c>
      <c r="AG65" s="5">
        <v>3173</v>
      </c>
      <c r="AH65" s="5">
        <v>745</v>
      </c>
      <c r="AI65" s="5">
        <v>179</v>
      </c>
      <c r="AM65" s="15"/>
      <c r="AO65" s="15"/>
    </row>
    <row r="66" spans="1:41">
      <c r="A66" s="46" t="s">
        <v>211</v>
      </c>
      <c r="B66" s="46" t="s">
        <v>66</v>
      </c>
      <c r="C66" s="6">
        <f t="shared" ref="C66:AI66" si="116">SUM(C60:C65,C59,C56)</f>
        <v>248684</v>
      </c>
      <c r="D66" s="6">
        <f t="shared" si="116"/>
        <v>527410</v>
      </c>
      <c r="E66" s="6">
        <f t="shared" si="116"/>
        <v>824821</v>
      </c>
      <c r="F66" s="6">
        <f t="shared" si="116"/>
        <v>1113549</v>
      </c>
      <c r="G66" s="6">
        <f t="shared" si="116"/>
        <v>271072</v>
      </c>
      <c r="H66" s="6">
        <f t="shared" si="116"/>
        <v>579708</v>
      </c>
      <c r="I66" s="6">
        <f t="shared" si="116"/>
        <v>892495</v>
      </c>
      <c r="J66" s="6">
        <f t="shared" si="116"/>
        <v>1223082</v>
      </c>
      <c r="K66" s="6">
        <f t="shared" si="116"/>
        <v>284032</v>
      </c>
      <c r="L66" s="6">
        <f t="shared" si="116"/>
        <v>577198.37461358006</v>
      </c>
      <c r="M66" s="6">
        <f t="shared" si="116"/>
        <v>914711</v>
      </c>
      <c r="N66" s="6">
        <f t="shared" si="116"/>
        <v>1083334</v>
      </c>
      <c r="O66" s="6">
        <f t="shared" si="116"/>
        <v>150539</v>
      </c>
      <c r="P66" s="6">
        <f t="shared" si="116"/>
        <v>327124</v>
      </c>
      <c r="Q66" s="6">
        <f t="shared" si="116"/>
        <v>522323</v>
      </c>
      <c r="R66" s="6">
        <f t="shared" si="116"/>
        <v>490082</v>
      </c>
      <c r="S66" s="6">
        <f t="shared" si="116"/>
        <v>-169989</v>
      </c>
      <c r="T66" s="6">
        <f t="shared" si="116"/>
        <v>-196973</v>
      </c>
      <c r="U66" s="6">
        <f t="shared" si="116"/>
        <v>-363283</v>
      </c>
      <c r="V66" s="6">
        <f t="shared" si="116"/>
        <v>-688332</v>
      </c>
      <c r="W66" s="6">
        <f t="shared" si="116"/>
        <v>91415</v>
      </c>
      <c r="X66" s="6">
        <f t="shared" si="116"/>
        <v>165275</v>
      </c>
      <c r="Y66" s="6">
        <f t="shared" si="116"/>
        <v>-975144</v>
      </c>
      <c r="Z66" s="6">
        <f t="shared" si="116"/>
        <v>-561692</v>
      </c>
      <c r="AA66" s="6">
        <f t="shared" si="116"/>
        <v>533601</v>
      </c>
      <c r="AB66" s="6">
        <f t="shared" si="116"/>
        <v>775426</v>
      </c>
      <c r="AC66" s="6">
        <f t="shared" si="116"/>
        <v>1056181</v>
      </c>
      <c r="AD66" s="6">
        <f t="shared" si="116"/>
        <v>1312487</v>
      </c>
      <c r="AE66" s="6">
        <f t="shared" si="116"/>
        <v>129293</v>
      </c>
      <c r="AF66" s="6">
        <f t="shared" si="116"/>
        <v>281097</v>
      </c>
      <c r="AG66" s="6">
        <f t="shared" si="116"/>
        <v>697260</v>
      </c>
      <c r="AH66" s="6">
        <f t="shared" si="116"/>
        <v>1107443</v>
      </c>
      <c r="AI66" s="6">
        <f t="shared" si="116"/>
        <v>416372</v>
      </c>
      <c r="AM66" s="15"/>
      <c r="AO66" s="15"/>
    </row>
    <row r="67" spans="1:41">
      <c r="A67" s="44" t="s">
        <v>212</v>
      </c>
      <c r="B67" s="44" t="s">
        <v>213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M67" s="15"/>
      <c r="AO67" s="15"/>
    </row>
    <row r="68" spans="1:41">
      <c r="A68" s="44" t="s">
        <v>168</v>
      </c>
      <c r="B68" s="44" t="s">
        <v>169</v>
      </c>
      <c r="C68" s="5">
        <v>-47230</v>
      </c>
      <c r="D68" s="5">
        <v>-93680</v>
      </c>
      <c r="E68" s="5">
        <v>-140056</v>
      </c>
      <c r="F68" s="5">
        <v>-188326</v>
      </c>
      <c r="G68" s="5">
        <v>-52178</v>
      </c>
      <c r="H68" s="5">
        <v>-100656</v>
      </c>
      <c r="I68" s="5">
        <v>-148525</v>
      </c>
      <c r="J68" s="5">
        <v>-198477</v>
      </c>
      <c r="K68" s="5">
        <v>-51358</v>
      </c>
      <c r="L68" s="5">
        <v>-110008</v>
      </c>
      <c r="M68" s="5">
        <v>-178857</v>
      </c>
      <c r="N68" s="5">
        <v>-247991</v>
      </c>
      <c r="O68" s="5">
        <v>-72741</v>
      </c>
      <c r="P68" s="5">
        <v>-141188</v>
      </c>
      <c r="Q68" s="5">
        <v>-209027</v>
      </c>
      <c r="R68" s="5">
        <v>-279147</v>
      </c>
      <c r="S68" s="5">
        <v>-75041</v>
      </c>
      <c r="T68" s="5">
        <v>-151968</v>
      </c>
      <c r="U68" s="5">
        <v>-230599</v>
      </c>
      <c r="V68" s="5">
        <v>-312611</v>
      </c>
      <c r="W68" s="5">
        <v>-81984</v>
      </c>
      <c r="X68" s="5">
        <v>-168824</v>
      </c>
      <c r="Y68" s="5">
        <v>-169063</v>
      </c>
      <c r="Z68" s="5">
        <v>-169063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-34522</v>
      </c>
      <c r="AG68" s="5">
        <v>-133512</v>
      </c>
      <c r="AH68" s="5">
        <v>-232419</v>
      </c>
      <c r="AI68" s="5">
        <v>-98669</v>
      </c>
      <c r="AM68" s="15"/>
    </row>
    <row r="69" spans="1:41" ht="24">
      <c r="A69" s="46" t="s">
        <v>214</v>
      </c>
      <c r="B69" s="46" t="s">
        <v>215</v>
      </c>
      <c r="C69" s="6">
        <f t="shared" ref="C69:J69" si="117">SUM(C66:C68)</f>
        <v>201454</v>
      </c>
      <c r="D69" s="6">
        <f t="shared" si="117"/>
        <v>433730</v>
      </c>
      <c r="E69" s="6">
        <f t="shared" si="117"/>
        <v>684765</v>
      </c>
      <c r="F69" s="6">
        <f t="shared" si="117"/>
        <v>925223</v>
      </c>
      <c r="G69" s="6">
        <f t="shared" si="117"/>
        <v>218894</v>
      </c>
      <c r="H69" s="6">
        <f t="shared" si="117"/>
        <v>479052</v>
      </c>
      <c r="I69" s="6">
        <f t="shared" si="117"/>
        <v>743970</v>
      </c>
      <c r="J69" s="6">
        <f t="shared" si="117"/>
        <v>1024605</v>
      </c>
      <c r="K69" s="6">
        <f t="shared" ref="K69:AI69" si="118">SUM(K66:K68)</f>
        <v>232674</v>
      </c>
      <c r="L69" s="6">
        <f t="shared" si="118"/>
        <v>467190.37461358006</v>
      </c>
      <c r="M69" s="6">
        <f t="shared" si="118"/>
        <v>735854</v>
      </c>
      <c r="N69" s="6">
        <f t="shared" si="118"/>
        <v>835343</v>
      </c>
      <c r="O69" s="6">
        <f t="shared" si="118"/>
        <v>77798</v>
      </c>
      <c r="P69" s="6">
        <f t="shared" si="118"/>
        <v>185936</v>
      </c>
      <c r="Q69" s="6">
        <f t="shared" si="118"/>
        <v>313296</v>
      </c>
      <c r="R69" s="6">
        <f t="shared" si="118"/>
        <v>210935</v>
      </c>
      <c r="S69" s="6">
        <f t="shared" si="118"/>
        <v>-245030</v>
      </c>
      <c r="T69" s="6">
        <f t="shared" si="118"/>
        <v>-348941</v>
      </c>
      <c r="U69" s="6">
        <f t="shared" si="118"/>
        <v>-593882</v>
      </c>
      <c r="V69" s="6">
        <f t="shared" si="118"/>
        <v>-1000943</v>
      </c>
      <c r="W69" s="6">
        <f t="shared" si="118"/>
        <v>9431</v>
      </c>
      <c r="X69" s="6">
        <f t="shared" si="118"/>
        <v>-3549</v>
      </c>
      <c r="Y69" s="6">
        <f t="shared" si="118"/>
        <v>-1144207</v>
      </c>
      <c r="Z69" s="6">
        <f t="shared" si="118"/>
        <v>-730755</v>
      </c>
      <c r="AA69" s="6">
        <f t="shared" si="118"/>
        <v>533601</v>
      </c>
      <c r="AB69" s="6">
        <f t="shared" si="118"/>
        <v>775426</v>
      </c>
      <c r="AC69" s="6">
        <f t="shared" si="118"/>
        <v>1056181</v>
      </c>
      <c r="AD69" s="6">
        <f t="shared" si="118"/>
        <v>1312487</v>
      </c>
      <c r="AE69" s="6">
        <f t="shared" si="118"/>
        <v>129293</v>
      </c>
      <c r="AF69" s="6">
        <f t="shared" si="118"/>
        <v>246575</v>
      </c>
      <c r="AG69" s="6">
        <f t="shared" si="118"/>
        <v>563748</v>
      </c>
      <c r="AH69" s="6">
        <f t="shared" si="118"/>
        <v>875024</v>
      </c>
      <c r="AI69" s="6">
        <f t="shared" si="118"/>
        <v>317703</v>
      </c>
      <c r="AM69" s="15"/>
      <c r="AO69" s="15"/>
    </row>
    <row r="70" spans="1:41" ht="12.5" thickBot="1">
      <c r="A70" s="47" t="s">
        <v>7</v>
      </c>
      <c r="B70" s="47" t="s">
        <v>68</v>
      </c>
      <c r="C70" s="8">
        <v>-60956</v>
      </c>
      <c r="D70" s="8">
        <v>-119634</v>
      </c>
      <c r="E70" s="8">
        <v>-183185</v>
      </c>
      <c r="F70" s="8">
        <v>-243996</v>
      </c>
      <c r="G70" s="8">
        <v>-63618</v>
      </c>
      <c r="H70" s="8">
        <v>-131107</v>
      </c>
      <c r="I70" s="8">
        <v>-195836</v>
      </c>
      <c r="J70" s="8">
        <v>-263954</v>
      </c>
      <c r="K70" s="8">
        <v>-72708</v>
      </c>
      <c r="L70" s="8">
        <v>-133567</v>
      </c>
      <c r="M70" s="8">
        <v>-202091</v>
      </c>
      <c r="N70" s="8">
        <v>-274611</v>
      </c>
      <c r="O70" s="8">
        <v>-59669</v>
      </c>
      <c r="P70" s="8">
        <v>-114212</v>
      </c>
      <c r="Q70" s="8">
        <v>-181426</v>
      </c>
      <c r="R70" s="8">
        <v>-188118</v>
      </c>
      <c r="S70" s="8">
        <v>-66308</v>
      </c>
      <c r="T70" s="8">
        <v>-162707</v>
      </c>
      <c r="U70" s="8">
        <v>-229074</v>
      </c>
      <c r="V70" s="8">
        <v>-330923</v>
      </c>
      <c r="W70" s="8">
        <v>-131771</v>
      </c>
      <c r="X70" s="8">
        <v>-259052</v>
      </c>
      <c r="Y70" s="8">
        <v>-119296</v>
      </c>
      <c r="Z70" s="8">
        <v>-283811</v>
      </c>
      <c r="AA70" s="8">
        <v>-281455</v>
      </c>
      <c r="AB70" s="8">
        <v>-417508</v>
      </c>
      <c r="AC70" s="8">
        <v>-595563</v>
      </c>
      <c r="AD70" s="8">
        <v>-736770</v>
      </c>
      <c r="AE70" s="8">
        <v>-867</v>
      </c>
      <c r="AF70" s="8">
        <v>110358</v>
      </c>
      <c r="AG70" s="8">
        <v>-17052</v>
      </c>
      <c r="AH70" s="8">
        <v>-155815</v>
      </c>
      <c r="AI70" s="8">
        <v>-138434</v>
      </c>
    </row>
    <row r="71" spans="1:41" ht="12.5" thickBot="1">
      <c r="A71" s="48" t="s">
        <v>216</v>
      </c>
      <c r="B71" s="48" t="s">
        <v>67</v>
      </c>
      <c r="C71" s="2">
        <f t="shared" ref="C71:I71" si="119">+C70+C69</f>
        <v>140498</v>
      </c>
      <c r="D71" s="2">
        <f t="shared" si="119"/>
        <v>314096</v>
      </c>
      <c r="E71" s="2">
        <f t="shared" si="119"/>
        <v>501580</v>
      </c>
      <c r="F71" s="2">
        <f t="shared" si="119"/>
        <v>681227</v>
      </c>
      <c r="G71" s="2">
        <f t="shared" si="119"/>
        <v>155276</v>
      </c>
      <c r="H71" s="2">
        <f t="shared" si="119"/>
        <v>347945</v>
      </c>
      <c r="I71" s="2">
        <f t="shared" si="119"/>
        <v>548134</v>
      </c>
      <c r="J71" s="2">
        <f t="shared" ref="J71:AI71" si="120">+J70+J69</f>
        <v>760651</v>
      </c>
      <c r="K71" s="2">
        <f t="shared" si="120"/>
        <v>159966</v>
      </c>
      <c r="L71" s="2">
        <f t="shared" si="120"/>
        <v>333623.37461358006</v>
      </c>
      <c r="M71" s="2">
        <f t="shared" si="120"/>
        <v>533763</v>
      </c>
      <c r="N71" s="2">
        <f t="shared" si="120"/>
        <v>560732</v>
      </c>
      <c r="O71" s="2">
        <f t="shared" si="120"/>
        <v>18129</v>
      </c>
      <c r="P71" s="2">
        <f t="shared" si="120"/>
        <v>71724</v>
      </c>
      <c r="Q71" s="2">
        <f t="shared" si="120"/>
        <v>131870</v>
      </c>
      <c r="R71" s="2">
        <f t="shared" si="120"/>
        <v>22817</v>
      </c>
      <c r="S71" s="2">
        <f t="shared" si="120"/>
        <v>-311338</v>
      </c>
      <c r="T71" s="2">
        <f t="shared" si="120"/>
        <v>-511648</v>
      </c>
      <c r="U71" s="2">
        <f t="shared" si="120"/>
        <v>-822956</v>
      </c>
      <c r="V71" s="2">
        <f t="shared" si="120"/>
        <v>-1331866</v>
      </c>
      <c r="W71" s="2">
        <f t="shared" si="120"/>
        <v>-122340</v>
      </c>
      <c r="X71" s="2">
        <f t="shared" si="120"/>
        <v>-262601</v>
      </c>
      <c r="Y71" s="2">
        <f t="shared" si="120"/>
        <v>-1263503</v>
      </c>
      <c r="Z71" s="2">
        <f t="shared" si="120"/>
        <v>-1014566</v>
      </c>
      <c r="AA71" s="2">
        <f t="shared" si="120"/>
        <v>252146</v>
      </c>
      <c r="AB71" s="2">
        <f t="shared" si="120"/>
        <v>357918</v>
      </c>
      <c r="AC71" s="2">
        <f t="shared" si="120"/>
        <v>460618</v>
      </c>
      <c r="AD71" s="2">
        <f t="shared" si="120"/>
        <v>575717</v>
      </c>
      <c r="AE71" s="2">
        <f t="shared" si="120"/>
        <v>128426</v>
      </c>
      <c r="AF71" s="2">
        <f t="shared" si="120"/>
        <v>356933</v>
      </c>
      <c r="AG71" s="2">
        <f t="shared" si="120"/>
        <v>546696</v>
      </c>
      <c r="AH71" s="2">
        <f t="shared" si="120"/>
        <v>719209</v>
      </c>
      <c r="AI71" s="2">
        <f t="shared" si="120"/>
        <v>179269</v>
      </c>
      <c r="AO71" s="15"/>
    </row>
    <row r="72" spans="1:41">
      <c r="A72" s="45" t="s">
        <v>8</v>
      </c>
      <c r="B72" s="45" t="s">
        <v>55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M72" s="15"/>
    </row>
    <row r="73" spans="1:41">
      <c r="A73" s="83" t="s">
        <v>9</v>
      </c>
      <c r="B73" s="83" t="s">
        <v>217</v>
      </c>
      <c r="C73" s="5">
        <v>140498</v>
      </c>
      <c r="D73" s="5">
        <f t="shared" ref="D73:J73" si="121">+D71</f>
        <v>314096</v>
      </c>
      <c r="E73" s="5">
        <f t="shared" si="121"/>
        <v>501580</v>
      </c>
      <c r="F73" s="5">
        <f t="shared" si="121"/>
        <v>681227</v>
      </c>
      <c r="G73" s="5">
        <f t="shared" si="121"/>
        <v>155276</v>
      </c>
      <c r="H73" s="5">
        <f t="shared" si="121"/>
        <v>347945</v>
      </c>
      <c r="I73" s="5">
        <f t="shared" si="121"/>
        <v>548134</v>
      </c>
      <c r="J73" s="5">
        <f t="shared" si="121"/>
        <v>760651</v>
      </c>
      <c r="K73" s="5">
        <f t="shared" ref="K73:AE73" si="122">+K71</f>
        <v>159966</v>
      </c>
      <c r="L73" s="5">
        <f t="shared" si="122"/>
        <v>333623.37461358006</v>
      </c>
      <c r="M73" s="5">
        <f t="shared" si="122"/>
        <v>533763</v>
      </c>
      <c r="N73" s="5">
        <f t="shared" si="122"/>
        <v>560732</v>
      </c>
      <c r="O73" s="5">
        <f t="shared" si="122"/>
        <v>18129</v>
      </c>
      <c r="P73" s="5">
        <f t="shared" si="122"/>
        <v>71724</v>
      </c>
      <c r="Q73" s="5">
        <f t="shared" si="122"/>
        <v>131870</v>
      </c>
      <c r="R73" s="5">
        <f t="shared" si="122"/>
        <v>22817</v>
      </c>
      <c r="S73" s="5">
        <f t="shared" si="122"/>
        <v>-311338</v>
      </c>
      <c r="T73" s="5">
        <f t="shared" si="122"/>
        <v>-511648</v>
      </c>
      <c r="U73" s="5">
        <f t="shared" si="122"/>
        <v>-822956</v>
      </c>
      <c r="V73" s="5">
        <f t="shared" si="122"/>
        <v>-1331866</v>
      </c>
      <c r="W73" s="5">
        <f t="shared" si="122"/>
        <v>-122340</v>
      </c>
      <c r="X73" s="5">
        <f t="shared" si="122"/>
        <v>-262601</v>
      </c>
      <c r="Y73" s="5">
        <f t="shared" si="122"/>
        <v>-1263503</v>
      </c>
      <c r="Z73" s="5">
        <f t="shared" si="122"/>
        <v>-1014566</v>
      </c>
      <c r="AA73" s="5">
        <f t="shared" si="122"/>
        <v>252146</v>
      </c>
      <c r="AB73" s="5">
        <f t="shared" si="122"/>
        <v>357918</v>
      </c>
      <c r="AC73" s="5">
        <f t="shared" si="122"/>
        <v>460618</v>
      </c>
      <c r="AD73" s="5">
        <f t="shared" si="122"/>
        <v>575717</v>
      </c>
      <c r="AE73" s="5">
        <f t="shared" si="122"/>
        <v>128426</v>
      </c>
      <c r="AF73" s="5">
        <f>+AF71</f>
        <v>356933</v>
      </c>
      <c r="AG73" s="5">
        <f>+AG71</f>
        <v>546696</v>
      </c>
      <c r="AH73" s="5">
        <f>+AH71</f>
        <v>719209</v>
      </c>
      <c r="AI73" s="5">
        <f>+AI71</f>
        <v>179269</v>
      </c>
    </row>
    <row r="74" spans="1:41">
      <c r="A74" s="83" t="s">
        <v>10</v>
      </c>
      <c r="B74" s="83" t="s">
        <v>218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M74" s="15"/>
    </row>
    <row r="75" spans="1:41" ht="12.5" thickBot="1">
      <c r="A75" s="84" t="s">
        <v>11</v>
      </c>
      <c r="B75" s="84" t="s">
        <v>219</v>
      </c>
      <c r="C75" s="85">
        <v>1213116777</v>
      </c>
      <c r="D75" s="85">
        <v>1213116777</v>
      </c>
      <c r="E75" s="85">
        <v>1213116777</v>
      </c>
      <c r="F75" s="85">
        <v>1213116777</v>
      </c>
      <c r="G75" s="85">
        <v>1213116777</v>
      </c>
      <c r="H75" s="85">
        <v>1213116777</v>
      </c>
      <c r="I75" s="85">
        <v>1213116777</v>
      </c>
      <c r="J75" s="85">
        <v>1213116777</v>
      </c>
      <c r="K75" s="85">
        <v>1213116777</v>
      </c>
      <c r="L75" s="85">
        <v>1213116777</v>
      </c>
      <c r="M75" s="85">
        <v>1213116777</v>
      </c>
      <c r="N75" s="85">
        <v>1213116777</v>
      </c>
      <c r="O75" s="85">
        <v>1213116777</v>
      </c>
      <c r="P75" s="85">
        <v>1213116777</v>
      </c>
      <c r="Q75" s="85">
        <v>1213116777</v>
      </c>
      <c r="R75" s="85">
        <v>1213116777</v>
      </c>
      <c r="S75" s="85">
        <v>1213116777</v>
      </c>
      <c r="T75" s="85">
        <v>1213116777</v>
      </c>
      <c r="U75" s="85">
        <v>1213116777</v>
      </c>
      <c r="V75" s="85">
        <v>1213116777</v>
      </c>
      <c r="W75" s="85">
        <v>1213116777</v>
      </c>
      <c r="X75" s="85">
        <v>1213116777</v>
      </c>
      <c r="Y75" s="85">
        <v>1213116777</v>
      </c>
      <c r="Z75" s="85">
        <v>1213116777</v>
      </c>
      <c r="AA75" s="85">
        <v>1213116777</v>
      </c>
      <c r="AB75" s="85">
        <v>1213116777</v>
      </c>
      <c r="AC75" s="85">
        <v>1213116777</v>
      </c>
      <c r="AD75" s="85">
        <v>1213116777</v>
      </c>
      <c r="AE75" s="85">
        <v>1213116777</v>
      </c>
      <c r="AF75" s="85">
        <v>1213116777</v>
      </c>
      <c r="AG75" s="85">
        <v>1213116777</v>
      </c>
      <c r="AH75" s="85">
        <v>1213116777</v>
      </c>
      <c r="AI75" s="85">
        <v>1213116777</v>
      </c>
    </row>
    <row r="76" spans="1:41" ht="12.5" thickBot="1">
      <c r="A76" s="86" t="s">
        <v>220</v>
      </c>
      <c r="B76" s="86" t="s">
        <v>56</v>
      </c>
      <c r="C76" s="87">
        <f t="shared" ref="C76:J76" si="123">+C73*1000/C75</f>
        <v>0.11581572579306601</v>
      </c>
      <c r="D76" s="87">
        <f t="shared" si="123"/>
        <v>0.25891654122264274</v>
      </c>
      <c r="E76" s="87">
        <f t="shared" si="123"/>
        <v>0.41346390513235809</v>
      </c>
      <c r="F76" s="87">
        <f t="shared" si="123"/>
        <v>0.56155105008493345</v>
      </c>
      <c r="G76" s="87">
        <f t="shared" si="123"/>
        <v>0.12799757034437584</v>
      </c>
      <c r="H76" s="87">
        <f t="shared" si="123"/>
        <v>0.28681904874851138</v>
      </c>
      <c r="I76" s="87">
        <f t="shared" si="123"/>
        <v>0.45183943573471824</v>
      </c>
      <c r="J76" s="87">
        <f t="shared" si="123"/>
        <v>0.62702207604536331</v>
      </c>
      <c r="K76" s="87">
        <f t="shared" ref="K76:AI76" si="124">+K73*1000/K75</f>
        <v>0.13186364497867298</v>
      </c>
      <c r="L76" s="87">
        <f t="shared" si="124"/>
        <v>0.27501340426485588</v>
      </c>
      <c r="M76" s="87">
        <f t="shared" si="124"/>
        <v>0.43999309062395403</v>
      </c>
      <c r="N76" s="87">
        <f t="shared" si="124"/>
        <v>0.46222425625558716</v>
      </c>
      <c r="O76" s="87">
        <f t="shared" si="124"/>
        <v>1.4944150755900394E-2</v>
      </c>
      <c r="P76" s="87">
        <f t="shared" si="124"/>
        <v>5.9123739247404702E-2</v>
      </c>
      <c r="Q76" s="87">
        <f t="shared" si="124"/>
        <v>0.10870346738267886</v>
      </c>
      <c r="R76" s="87">
        <f t="shared" si="124"/>
        <v>1.8808576744298047E-2</v>
      </c>
      <c r="S76" s="87">
        <f t="shared" si="124"/>
        <v>-0.25664305852725011</v>
      </c>
      <c r="T76" s="87">
        <f t="shared" si="124"/>
        <v>-0.42176318859037593</v>
      </c>
      <c r="U76" s="87">
        <f t="shared" si="124"/>
        <v>-0.67838151742913366</v>
      </c>
      <c r="V76" s="87">
        <f t="shared" si="124"/>
        <v>-1.0978877097831119</v>
      </c>
      <c r="W76" s="87">
        <f t="shared" si="124"/>
        <v>-0.10084766967162305</v>
      </c>
      <c r="X76" s="87">
        <f t="shared" si="124"/>
        <v>-0.21646803092559982</v>
      </c>
      <c r="Y76" s="87">
        <f t="shared" si="124"/>
        <v>-1.0415345199697952</v>
      </c>
      <c r="Z76" s="87">
        <f t="shared" si="124"/>
        <v>-0.83633003782949089</v>
      </c>
      <c r="AA76" s="87">
        <f t="shared" si="124"/>
        <v>0.20784973448603128</v>
      </c>
      <c r="AB76" s="87">
        <f t="shared" si="124"/>
        <v>0.29504002152630354</v>
      </c>
      <c r="AC76" s="87">
        <f t="shared" si="124"/>
        <v>0.37969798846496378</v>
      </c>
      <c r="AD76" s="87">
        <f t="shared" si="124"/>
        <v>0.47457673565749392</v>
      </c>
      <c r="AE76" s="87">
        <f t="shared" si="124"/>
        <v>0.10586449914376216</v>
      </c>
      <c r="AF76" s="87">
        <f t="shared" si="124"/>
        <v>0.29422806342080621</v>
      </c>
      <c r="AG76" s="87">
        <f t="shared" si="124"/>
        <v>0.45065405933298702</v>
      </c>
      <c r="AH76" s="87">
        <f t="shared" si="124"/>
        <v>0.59286048436209204</v>
      </c>
      <c r="AI76" s="87">
        <f t="shared" si="124"/>
        <v>0.14777555087757227</v>
      </c>
      <c r="AM76" s="15"/>
    </row>
    <row r="77" spans="1:41">
      <c r="A77" s="1" t="s">
        <v>495</v>
      </c>
      <c r="B77" s="1" t="s">
        <v>496</v>
      </c>
    </row>
    <row r="78" spans="1:41">
      <c r="A78" s="1" t="s">
        <v>383</v>
      </c>
      <c r="B78" s="1" t="s">
        <v>381</v>
      </c>
      <c r="AM78" s="15"/>
    </row>
    <row r="79" spans="1:41">
      <c r="A79" s="1" t="s">
        <v>497</v>
      </c>
      <c r="B79" s="1" t="s">
        <v>498</v>
      </c>
    </row>
    <row r="80" spans="1:41"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Y80" s="40"/>
      <c r="Z80" s="40"/>
    </row>
    <row r="82" spans="1:35">
      <c r="A82" s="1" t="s">
        <v>291</v>
      </c>
      <c r="B82" s="1" t="s">
        <v>371</v>
      </c>
    </row>
    <row r="83" spans="1:35">
      <c r="A83" s="1" t="s">
        <v>536</v>
      </c>
      <c r="B83" s="1" t="s">
        <v>534</v>
      </c>
      <c r="Y83" s="82">
        <f t="shared" ref="Y83:Z83" si="125">Y42-Y85</f>
        <v>4381556</v>
      </c>
      <c r="Z83" s="82">
        <f t="shared" si="125"/>
        <v>6324105</v>
      </c>
      <c r="AD83" s="82">
        <f>AD42-AD85</f>
        <v>8445001</v>
      </c>
      <c r="AE83" s="82"/>
      <c r="AF83" s="82">
        <f>AF42-AF85</f>
        <v>4375672</v>
      </c>
      <c r="AG83" s="82">
        <f>AG42-AG85</f>
        <v>6645101</v>
      </c>
      <c r="AH83" s="82">
        <f>AH42-AH85</f>
        <v>8935836</v>
      </c>
      <c r="AI83" s="82"/>
    </row>
    <row r="84" spans="1:35">
      <c r="A84" s="1" t="s">
        <v>537</v>
      </c>
      <c r="B84" s="1" t="s">
        <v>535</v>
      </c>
      <c r="Y84" s="171">
        <f t="shared" ref="Y84:Z84" si="126">Y44-Y85</f>
        <v>3411305</v>
      </c>
      <c r="Z84" s="171">
        <f t="shared" si="126"/>
        <v>4661499</v>
      </c>
      <c r="AD84" s="171">
        <f>AD44-AD85</f>
        <v>5262717</v>
      </c>
      <c r="AE84" s="171"/>
      <c r="AF84" s="171">
        <f>AF44-AF85</f>
        <v>2736863</v>
      </c>
      <c r="AG84" s="171">
        <f>AG44-AG85</f>
        <v>4182205</v>
      </c>
      <c r="AH84" s="171">
        <f>AH44-AH85</f>
        <v>5642653</v>
      </c>
      <c r="AI84" s="171"/>
    </row>
    <row r="85" spans="1:35">
      <c r="A85" s="1" t="s">
        <v>525</v>
      </c>
      <c r="B85" s="1" t="s">
        <v>526</v>
      </c>
      <c r="Y85" s="178">
        <v>-1422893</v>
      </c>
      <c r="Z85" s="178">
        <v>-1324208</v>
      </c>
      <c r="AD85" s="178">
        <v>-9228</v>
      </c>
      <c r="AE85" s="82"/>
      <c r="AF85" s="178">
        <v>-201046</v>
      </c>
      <c r="AG85" s="178">
        <v>-157306</v>
      </c>
      <c r="AH85" s="178">
        <v>-112709</v>
      </c>
      <c r="AI85" s="82"/>
    </row>
    <row r="86" spans="1:35">
      <c r="Z86" s="14"/>
    </row>
    <row r="87" spans="1:35">
      <c r="AG87" s="14"/>
      <c r="AH87" s="14"/>
      <c r="AI87" s="14"/>
    </row>
    <row r="88" spans="1:35">
      <c r="Z88" s="14"/>
    </row>
    <row r="89" spans="1:35">
      <c r="Z89" s="14"/>
    </row>
    <row r="91" spans="1:35">
      <c r="Y91" s="14"/>
      <c r="Z91" s="14"/>
    </row>
  </sheetData>
  <pageMargins left="0.25" right="0.25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X90"/>
  <sheetViews>
    <sheetView zoomScale="90" zoomScaleNormal="90" workbookViewId="0">
      <pane xSplit="2" ySplit="5" topLeftCell="AQ6" activePane="bottomRight" state="frozen"/>
      <selection pane="topRight" activeCell="C1" sqref="C1"/>
      <selection pane="bottomLeft" activeCell="A6" sqref="A6"/>
      <selection pane="bottomRight"/>
    </sheetView>
  </sheetViews>
  <sheetFormatPr defaultColWidth="8.75" defaultRowHeight="12" outlineLevelCol="1"/>
  <cols>
    <col min="1" max="1" width="30.08203125" style="1" customWidth="1"/>
    <col min="2" max="2" width="33.08203125" style="1" customWidth="1"/>
    <col min="3" max="3" width="10.75" style="1" hidden="1" customWidth="1"/>
    <col min="4" max="4" width="10.33203125" style="1" hidden="1" customWidth="1"/>
    <col min="5" max="5" width="10" style="1" hidden="1" customWidth="1"/>
    <col min="6" max="6" width="12.25" style="1" hidden="1" customWidth="1"/>
    <col min="7" max="7" width="12.25" style="1" hidden="1" customWidth="1" collapsed="1"/>
    <col min="8" max="9" width="11.33203125" style="1" hidden="1" customWidth="1"/>
    <col min="10" max="10" width="12.25" style="1" hidden="1" customWidth="1"/>
    <col min="11" max="17" width="11.25" style="1" hidden="1" customWidth="1"/>
    <col min="18" max="18" width="12.08203125" style="1" hidden="1" customWidth="1" outlineLevel="1"/>
    <col min="19" max="19" width="12.75" style="1" hidden="1" customWidth="1" outlineLevel="1"/>
    <col min="20" max="21" width="11.25" style="1" hidden="1" customWidth="1" outlineLevel="1"/>
    <col min="22" max="22" width="11.25" style="1" customWidth="1" collapsed="1"/>
    <col min="23" max="29" width="11.25" style="1" customWidth="1"/>
    <col min="30" max="31" width="11.58203125" style="1" customWidth="1"/>
    <col min="32" max="47" width="12" style="1" customWidth="1"/>
    <col min="48" max="48" width="11.75" style="1" customWidth="1"/>
    <col min="49" max="49" width="12.75" style="1" customWidth="1"/>
    <col min="50" max="50" width="12.33203125" style="1" customWidth="1"/>
    <col min="51" max="16384" width="8.75" style="1"/>
  </cols>
  <sheetData>
    <row r="1" spans="1:50" ht="15.5">
      <c r="A1" s="39" t="s">
        <v>380</v>
      </c>
      <c r="S1" s="15"/>
      <c r="T1" s="15"/>
      <c r="U1" s="15"/>
      <c r="V1" s="15"/>
      <c r="W1" s="15"/>
      <c r="X1" s="15"/>
      <c r="Y1" s="15"/>
      <c r="Z1" s="15"/>
    </row>
    <row r="2" spans="1:50" ht="15.5">
      <c r="A2" s="39" t="s">
        <v>379</v>
      </c>
      <c r="S2" s="15"/>
      <c r="T2" s="15"/>
      <c r="U2" s="15"/>
      <c r="V2" s="15"/>
      <c r="W2" s="15"/>
      <c r="X2" s="15"/>
      <c r="Y2" s="15"/>
      <c r="Z2" s="15"/>
      <c r="AJ2"/>
      <c r="AK2"/>
      <c r="AL2"/>
      <c r="AM2"/>
      <c r="AN2"/>
      <c r="AO2"/>
      <c r="AP2"/>
      <c r="AQ2"/>
      <c r="AR2"/>
      <c r="AS2"/>
      <c r="AT2"/>
      <c r="AU2"/>
    </row>
    <row r="3" spans="1:50" ht="15.5">
      <c r="A3" s="39" t="s">
        <v>12</v>
      </c>
      <c r="B3" s="39" t="s">
        <v>99</v>
      </c>
      <c r="S3" s="15"/>
      <c r="T3" s="15"/>
      <c r="U3" s="15"/>
      <c r="V3" s="15"/>
      <c r="W3" s="15"/>
      <c r="X3" s="133"/>
      <c r="Y3" s="133"/>
      <c r="Z3" s="133"/>
      <c r="AJ3"/>
      <c r="AK3"/>
      <c r="AL3"/>
      <c r="AM3"/>
      <c r="AN3"/>
      <c r="AO3"/>
      <c r="AP3"/>
      <c r="AQ3"/>
      <c r="AR3"/>
      <c r="AS3"/>
      <c r="AT3"/>
      <c r="AU3" s="262"/>
    </row>
    <row r="4" spans="1:50" ht="15.5">
      <c r="A4" s="39"/>
      <c r="B4" s="39"/>
      <c r="S4" s="15"/>
      <c r="T4" s="15"/>
      <c r="U4" s="15"/>
      <c r="V4" s="15"/>
      <c r="W4" s="15"/>
      <c r="X4" s="15"/>
      <c r="Y4" s="15"/>
      <c r="Z4" s="15"/>
      <c r="AD4" s="54"/>
      <c r="AE4" s="54"/>
      <c r="AU4" s="262"/>
    </row>
    <row r="5" spans="1:50" ht="24">
      <c r="A5" s="98" t="s">
        <v>397</v>
      </c>
      <c r="B5" s="98" t="s">
        <v>384</v>
      </c>
      <c r="C5" s="43" t="s">
        <v>116</v>
      </c>
      <c r="D5" s="43" t="s">
        <v>119</v>
      </c>
      <c r="E5" s="43" t="s">
        <v>124</v>
      </c>
      <c r="F5" s="43" t="s">
        <v>135</v>
      </c>
      <c r="G5" s="43" t="s">
        <v>141</v>
      </c>
      <c r="H5" s="43" t="s">
        <v>157</v>
      </c>
      <c r="I5" s="43" t="s">
        <v>162</v>
      </c>
      <c r="J5" s="43" t="s">
        <v>165</v>
      </c>
      <c r="K5" s="43" t="s">
        <v>167</v>
      </c>
      <c r="L5" s="43" t="s">
        <v>172</v>
      </c>
      <c r="M5" s="43" t="s">
        <v>173</v>
      </c>
      <c r="N5" s="43" t="s">
        <v>178</v>
      </c>
      <c r="O5" s="43" t="s">
        <v>180</v>
      </c>
      <c r="P5" s="43" t="s">
        <v>183</v>
      </c>
      <c r="Q5" s="43" t="s">
        <v>186</v>
      </c>
      <c r="R5" s="43" t="s">
        <v>191</v>
      </c>
      <c r="S5" s="116" t="s">
        <v>221</v>
      </c>
      <c r="T5" s="116" t="s">
        <v>264</v>
      </c>
      <c r="U5" s="116" t="s">
        <v>301</v>
      </c>
      <c r="V5" s="116" t="s">
        <v>304</v>
      </c>
      <c r="W5" s="116" t="s">
        <v>308</v>
      </c>
      <c r="X5" s="116" t="s">
        <v>319</v>
      </c>
      <c r="Y5" s="116" t="s">
        <v>324</v>
      </c>
      <c r="Z5" s="116" t="s">
        <v>330</v>
      </c>
      <c r="AA5" s="116" t="s">
        <v>401</v>
      </c>
      <c r="AB5" s="116" t="s">
        <v>469</v>
      </c>
      <c r="AC5" s="116" t="s">
        <v>474</v>
      </c>
      <c r="AD5" s="116" t="s">
        <v>481</v>
      </c>
      <c r="AE5" s="116" t="s">
        <v>490</v>
      </c>
      <c r="AF5" s="116" t="s">
        <v>503</v>
      </c>
      <c r="AG5" s="116" t="s">
        <v>507</v>
      </c>
      <c r="AH5" s="116" t="s">
        <v>512</v>
      </c>
      <c r="AI5" s="116" t="s">
        <v>516</v>
      </c>
      <c r="AJ5" s="116" t="s">
        <v>519</v>
      </c>
      <c r="AK5" s="116" t="s">
        <v>524</v>
      </c>
      <c r="AL5" s="116" t="s">
        <v>542</v>
      </c>
      <c r="AM5" s="116" t="s">
        <v>548</v>
      </c>
      <c r="AN5" s="116" t="s">
        <v>650</v>
      </c>
      <c r="AO5" s="116" t="s">
        <v>653</v>
      </c>
      <c r="AP5" s="116" t="s">
        <v>663</v>
      </c>
      <c r="AQ5" s="116" t="s">
        <v>667</v>
      </c>
      <c r="AR5" s="116" t="s">
        <v>674</v>
      </c>
      <c r="AS5" s="116" t="s">
        <v>677</v>
      </c>
      <c r="AT5" s="116" t="s">
        <v>684</v>
      </c>
      <c r="AU5" s="116" t="s">
        <v>691</v>
      </c>
    </row>
    <row r="6" spans="1:50">
      <c r="A6" s="95" t="s">
        <v>52</v>
      </c>
      <c r="B6" s="95" t="s">
        <v>105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>
        <f>+R7+R8</f>
        <v>32953080.368969999</v>
      </c>
      <c r="S6" s="56">
        <f t="shared" ref="S6:AK6" si="0">SUM(S7:S8)</f>
        <v>32367428</v>
      </c>
      <c r="T6" s="56">
        <f t="shared" si="0"/>
        <v>33791034</v>
      </c>
      <c r="U6" s="56">
        <f t="shared" si="0"/>
        <v>34291606</v>
      </c>
      <c r="V6" s="56">
        <f t="shared" si="0"/>
        <v>35096046</v>
      </c>
      <c r="W6" s="56">
        <f t="shared" si="0"/>
        <v>35822471</v>
      </c>
      <c r="X6" s="56">
        <f t="shared" si="0"/>
        <v>49384114</v>
      </c>
      <c r="Y6" s="56">
        <f t="shared" si="0"/>
        <v>51026906</v>
      </c>
      <c r="Z6" s="56">
        <f t="shared" si="0"/>
        <v>50877734</v>
      </c>
      <c r="AA6" s="56">
        <f t="shared" si="0"/>
        <v>52929331</v>
      </c>
      <c r="AB6" s="56">
        <f t="shared" si="0"/>
        <v>53226276</v>
      </c>
      <c r="AC6" s="56">
        <f t="shared" si="0"/>
        <v>54416901.934799999</v>
      </c>
      <c r="AD6" s="56">
        <f t="shared" si="0"/>
        <v>55387602</v>
      </c>
      <c r="AE6" s="56">
        <f t="shared" si="0"/>
        <v>56299989</v>
      </c>
      <c r="AF6" s="56">
        <f t="shared" si="0"/>
        <v>57214964</v>
      </c>
      <c r="AG6" s="56">
        <f t="shared" si="0"/>
        <v>59765347</v>
      </c>
      <c r="AH6" s="56">
        <f t="shared" si="0"/>
        <v>61074656</v>
      </c>
      <c r="AI6" s="56">
        <f t="shared" si="0"/>
        <v>61114644</v>
      </c>
      <c r="AJ6" s="56">
        <f t="shared" si="0"/>
        <v>61222458</v>
      </c>
      <c r="AK6" s="56">
        <f t="shared" si="0"/>
        <v>60635177</v>
      </c>
      <c r="AL6" s="56">
        <f t="shared" ref="AL6:AM6" si="1">SUM(AL7:AL8)</f>
        <v>59766553</v>
      </c>
      <c r="AM6" s="56">
        <f t="shared" si="1"/>
        <v>58505823</v>
      </c>
      <c r="AN6" s="56">
        <f t="shared" ref="AN6:AU6" si="2">SUM(AN7:AN8)</f>
        <v>57963288</v>
      </c>
      <c r="AO6" s="56">
        <f t="shared" si="2"/>
        <v>58257269</v>
      </c>
      <c r="AP6" s="56">
        <f t="shared" si="2"/>
        <v>58470304.229397997</v>
      </c>
      <c r="AQ6" s="56">
        <f t="shared" si="2"/>
        <v>58418070</v>
      </c>
      <c r="AR6" s="56">
        <f t="shared" si="2"/>
        <v>59013129.410870925</v>
      </c>
      <c r="AS6" s="56">
        <f t="shared" si="2"/>
        <v>59715969</v>
      </c>
      <c r="AT6" s="260">
        <f t="shared" si="2"/>
        <v>58931727</v>
      </c>
      <c r="AU6" s="260">
        <f t="shared" si="2"/>
        <v>58239458</v>
      </c>
    </row>
    <row r="7" spans="1:50">
      <c r="A7" s="95" t="s">
        <v>48</v>
      </c>
      <c r="B7" s="95" t="s">
        <v>106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>
        <v>26104033</v>
      </c>
      <c r="S7" s="56">
        <v>26395261</v>
      </c>
      <c r="T7" s="56">
        <v>27500015</v>
      </c>
      <c r="U7" s="56">
        <v>27775690</v>
      </c>
      <c r="V7" s="56">
        <v>28319185</v>
      </c>
      <c r="W7" s="56">
        <v>28739026</v>
      </c>
      <c r="X7" s="56">
        <v>35347859</v>
      </c>
      <c r="Y7" s="56">
        <v>36574200</v>
      </c>
      <c r="Z7" s="56">
        <f>36571683-139540</f>
        <v>36432143</v>
      </c>
      <c r="AA7" s="56">
        <v>38333719</v>
      </c>
      <c r="AB7" s="56">
        <v>38599043</v>
      </c>
      <c r="AC7" s="56">
        <v>39628824</v>
      </c>
      <c r="AD7" s="56">
        <v>40551677</v>
      </c>
      <c r="AE7" s="56">
        <v>41383482</v>
      </c>
      <c r="AF7" s="56">
        <v>42098210</v>
      </c>
      <c r="AG7" s="56">
        <v>43028499</v>
      </c>
      <c r="AH7" s="56">
        <v>44288635</v>
      </c>
      <c r="AI7" s="56">
        <v>44410553.079610012</v>
      </c>
      <c r="AJ7" s="56">
        <v>44505514.230020486</v>
      </c>
      <c r="AK7" s="56">
        <v>43598246</v>
      </c>
      <c r="AL7" s="56">
        <v>42596973</v>
      </c>
      <c r="AM7" s="56">
        <v>41204332.52277007</v>
      </c>
      <c r="AN7" s="56">
        <v>40356542.985469989</v>
      </c>
      <c r="AO7" s="56">
        <v>40187983.998789802</v>
      </c>
      <c r="AP7" s="56">
        <v>39994178.275799885</v>
      </c>
      <c r="AQ7" s="56">
        <v>39842068</v>
      </c>
      <c r="AR7" s="56">
        <v>39899905.513769902</v>
      </c>
      <c r="AS7" s="56">
        <v>40063275.189740002</v>
      </c>
      <c r="AT7" s="260">
        <v>39235735.824239999</v>
      </c>
      <c r="AU7" s="260">
        <v>38493136.620780095</v>
      </c>
      <c r="AW7" s="259"/>
      <c r="AX7" s="250"/>
    </row>
    <row r="8" spans="1:50">
      <c r="A8" s="95" t="s">
        <v>49</v>
      </c>
      <c r="B8" s="95" t="s">
        <v>107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6849047.3689699993</v>
      </c>
      <c r="S8" s="56">
        <v>5972167</v>
      </c>
      <c r="T8" s="56">
        <v>6291019</v>
      </c>
      <c r="U8" s="56">
        <v>6515916</v>
      </c>
      <c r="V8" s="56">
        <v>6776861</v>
      </c>
      <c r="W8" s="56">
        <v>7083445</v>
      </c>
      <c r="X8" s="56">
        <v>14036255</v>
      </c>
      <c r="Y8" s="56">
        <v>14452706</v>
      </c>
      <c r="Z8" s="56">
        <v>14445591</v>
      </c>
      <c r="AA8" s="56">
        <v>14595612</v>
      </c>
      <c r="AB8" s="56">
        <v>14627233</v>
      </c>
      <c r="AC8" s="56">
        <v>14788077.934799999</v>
      </c>
      <c r="AD8" s="56">
        <v>14835925</v>
      </c>
      <c r="AE8" s="56">
        <v>14916507</v>
      </c>
      <c r="AF8" s="56">
        <v>15116754</v>
      </c>
      <c r="AG8" s="56">
        <v>16736848</v>
      </c>
      <c r="AH8" s="56">
        <v>16786021</v>
      </c>
      <c r="AI8" s="56">
        <f>61114644-AI7</f>
        <v>16704090.920389988</v>
      </c>
      <c r="AJ8" s="56">
        <f>61222458-AJ7</f>
        <v>16716943.769979514</v>
      </c>
      <c r="AK8" s="56">
        <f>60635177-AK7</f>
        <v>17036931</v>
      </c>
      <c r="AL8" s="56">
        <f>59766553-AL7</f>
        <v>17169580</v>
      </c>
      <c r="AM8" s="56">
        <f>58505823-AM7</f>
        <v>17301490.47722993</v>
      </c>
      <c r="AN8" s="56">
        <f>57963288-AN7</f>
        <v>17606745.014530011</v>
      </c>
      <c r="AO8" s="56">
        <v>18069285.001210198</v>
      </c>
      <c r="AP8" s="56">
        <f>58470304.229398-AP7</f>
        <v>18476125.953598112</v>
      </c>
      <c r="AQ8" s="56">
        <v>18576002</v>
      </c>
      <c r="AR8" s="56">
        <v>19113223.897101022</v>
      </c>
      <c r="AS8" s="56">
        <f>59715969-AS7</f>
        <v>19652693.810259998</v>
      </c>
      <c r="AT8" s="260">
        <v>19695991.175760001</v>
      </c>
      <c r="AU8" s="260">
        <v>19746321.379219905</v>
      </c>
      <c r="AW8" s="259"/>
      <c r="AX8" s="250"/>
    </row>
    <row r="9" spans="1:50">
      <c r="A9" s="95" t="s">
        <v>147</v>
      </c>
      <c r="B9" s="95" t="s">
        <v>108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>
        <f>+R10+R11</f>
        <v>15955225.538314499</v>
      </c>
      <c r="S9" s="56">
        <f t="shared" ref="S9:Z9" si="3">SUM(S10:S11)</f>
        <v>16290938</v>
      </c>
      <c r="T9" s="56">
        <f t="shared" si="3"/>
        <v>17116248</v>
      </c>
      <c r="U9" s="56">
        <f t="shared" si="3"/>
        <v>17211791</v>
      </c>
      <c r="V9" s="56">
        <f t="shared" si="3"/>
        <v>18123976</v>
      </c>
      <c r="W9" s="56">
        <f t="shared" si="3"/>
        <v>18606982</v>
      </c>
      <c r="X9" s="56">
        <f t="shared" si="3"/>
        <v>18927299</v>
      </c>
      <c r="Y9" s="56">
        <f t="shared" si="3"/>
        <v>18903911</v>
      </c>
      <c r="Z9" s="56">
        <f t="shared" si="3"/>
        <v>19201079.000000007</v>
      </c>
      <c r="AA9" s="56">
        <f t="shared" ref="AA9:AD9" si="4">SUM(AA10:AA11)</f>
        <v>19642921</v>
      </c>
      <c r="AB9" s="56">
        <f t="shared" si="4"/>
        <v>18880544</v>
      </c>
      <c r="AC9" s="56">
        <f t="shared" si="4"/>
        <v>18727889.871693</v>
      </c>
      <c r="AD9" s="56">
        <f t="shared" si="4"/>
        <v>19008622</v>
      </c>
      <c r="AE9" s="56">
        <f t="shared" ref="AE9:AI9" si="5">SUM(AE10:AE11)</f>
        <v>19016527</v>
      </c>
      <c r="AF9" s="56">
        <f t="shared" si="5"/>
        <v>19236791</v>
      </c>
      <c r="AG9" s="56">
        <f t="shared" si="5"/>
        <v>19453626</v>
      </c>
      <c r="AH9" s="56">
        <f t="shared" si="5"/>
        <v>19539924</v>
      </c>
      <c r="AI9" s="56">
        <f t="shared" si="5"/>
        <v>19710970</v>
      </c>
      <c r="AJ9" s="56">
        <f t="shared" ref="AJ9" si="6">SUM(AJ10:AJ11)</f>
        <v>20262414</v>
      </c>
      <c r="AK9" s="56">
        <f t="shared" ref="AK9:AM9" si="7">SUM(AK10:AK11)</f>
        <v>20690244</v>
      </c>
      <c r="AL9" s="56">
        <f t="shared" si="7"/>
        <v>19121437</v>
      </c>
      <c r="AM9" s="56">
        <f t="shared" si="7"/>
        <v>19274972</v>
      </c>
      <c r="AN9" s="56">
        <f t="shared" ref="AN9:AU9" si="8">SUM(AN10:AN11)</f>
        <v>18629116</v>
      </c>
      <c r="AO9" s="56">
        <f t="shared" si="8"/>
        <v>18262525</v>
      </c>
      <c r="AP9" s="56">
        <f t="shared" si="8"/>
        <v>17649960.600000001</v>
      </c>
      <c r="AQ9" s="56">
        <f t="shared" si="8"/>
        <v>18064092</v>
      </c>
      <c r="AR9" s="56">
        <f t="shared" si="8"/>
        <v>18213585.257899076</v>
      </c>
      <c r="AS9" s="56">
        <f t="shared" si="8"/>
        <v>18417727</v>
      </c>
      <c r="AT9" s="260">
        <f t="shared" si="8"/>
        <v>18551109</v>
      </c>
      <c r="AU9" s="260">
        <f t="shared" si="8"/>
        <v>18855946</v>
      </c>
      <c r="AW9" s="259"/>
      <c r="AX9" s="250"/>
    </row>
    <row r="10" spans="1:50">
      <c r="A10" s="95" t="s">
        <v>47</v>
      </c>
      <c r="B10" s="95" t="s">
        <v>109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>
        <v>5741100.7876744615</v>
      </c>
      <c r="S10" s="56">
        <v>5897576.86793203</v>
      </c>
      <c r="T10" s="56">
        <v>6125704.1042999998</v>
      </c>
      <c r="U10" s="56">
        <v>6140812.86833</v>
      </c>
      <c r="V10" s="56">
        <v>6505627.7454972398</v>
      </c>
      <c r="W10" s="56">
        <v>6597413.4934429247</v>
      </c>
      <c r="X10" s="56">
        <v>6669905.367991548</v>
      </c>
      <c r="Y10" s="56">
        <v>6687221.429882193</v>
      </c>
      <c r="Z10" s="56">
        <v>6826604.5989217069</v>
      </c>
      <c r="AA10" s="56">
        <v>6794394</v>
      </c>
      <c r="AB10" s="56">
        <v>6636169.2208145577</v>
      </c>
      <c r="AC10" s="56">
        <v>6470372.925383009</v>
      </c>
      <c r="AD10" s="56">
        <v>6471831.0035780584</v>
      </c>
      <c r="AE10" s="56">
        <v>6423964.5629546335</v>
      </c>
      <c r="AF10" s="56">
        <v>6540758.0495191701</v>
      </c>
      <c r="AG10" s="56">
        <v>6794290.6606694264</v>
      </c>
      <c r="AH10" s="56">
        <v>6949533</v>
      </c>
      <c r="AI10" s="56">
        <v>6965086.7008020328</v>
      </c>
      <c r="AJ10" s="56">
        <v>7078619.2839310532</v>
      </c>
      <c r="AK10" s="56">
        <v>7282700.9951918535</v>
      </c>
      <c r="AL10" s="56">
        <v>7160606</v>
      </c>
      <c r="AM10" s="56">
        <v>7113019.0890624616</v>
      </c>
      <c r="AN10" s="56">
        <v>6938227.4247970022</v>
      </c>
      <c r="AO10" s="56">
        <v>6911912.063315223</v>
      </c>
      <c r="AP10" s="56">
        <v>6738379.7988479687</v>
      </c>
      <c r="AQ10" s="56">
        <v>6836543</v>
      </c>
      <c r="AR10" s="56">
        <v>6956490.9520587344</v>
      </c>
      <c r="AS10" s="56">
        <v>7002984.0084617017</v>
      </c>
      <c r="AT10" s="260">
        <v>7095186.7831042344</v>
      </c>
      <c r="AU10" s="260">
        <v>7074863.7803503061</v>
      </c>
      <c r="AW10" s="259"/>
      <c r="AX10" s="250"/>
    </row>
    <row r="11" spans="1:50">
      <c r="A11" s="95" t="s">
        <v>148</v>
      </c>
      <c r="B11" s="95" t="s">
        <v>110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>
        <v>10214124.750640038</v>
      </c>
      <c r="S11" s="56">
        <v>10393361.132067971</v>
      </c>
      <c r="T11" s="56">
        <v>10990543.8957</v>
      </c>
      <c r="U11" s="56">
        <v>11070978.13167</v>
      </c>
      <c r="V11" s="56">
        <v>11618348.25450276</v>
      </c>
      <c r="W11" s="56">
        <v>12009568.506557075</v>
      </c>
      <c r="X11" s="56">
        <v>12257393.632008452</v>
      </c>
      <c r="Y11" s="56">
        <v>12216689.570117807</v>
      </c>
      <c r="Z11" s="56">
        <f>12374482.4010783-8</f>
        <v>12374474.401078301</v>
      </c>
      <c r="AA11" s="56">
        <v>12848527</v>
      </c>
      <c r="AB11" s="56">
        <v>12244374.779185442</v>
      </c>
      <c r="AC11" s="56">
        <v>12257516.946309991</v>
      </c>
      <c r="AD11" s="56">
        <v>12536790.996421941</v>
      </c>
      <c r="AE11" s="56">
        <v>12592562.437045366</v>
      </c>
      <c r="AF11" s="56">
        <v>12696032.95048083</v>
      </c>
      <c r="AG11" s="56">
        <v>12659335.339330573</v>
      </c>
      <c r="AH11" s="56">
        <f>19539924-AH10</f>
        <v>12590391</v>
      </c>
      <c r="AI11" s="56">
        <f>19710970-AI10</f>
        <v>12745883.299197968</v>
      </c>
      <c r="AJ11" s="56">
        <f>20262414-AJ10</f>
        <v>13183794.716068946</v>
      </c>
      <c r="AK11" s="56">
        <f>20690244-AK10</f>
        <v>13407543.004808147</v>
      </c>
      <c r="AL11" s="56">
        <f>19121437-AL10</f>
        <v>11960831</v>
      </c>
      <c r="AM11" s="56">
        <f>19274972-AM10</f>
        <v>12161952.910937538</v>
      </c>
      <c r="AN11" s="56">
        <f>18629116-AN10</f>
        <v>11690888.575202998</v>
      </c>
      <c r="AO11" s="56">
        <v>11350612.936684776</v>
      </c>
      <c r="AP11" s="56">
        <f>17649960.6-AP10</f>
        <v>10911580.801152032</v>
      </c>
      <c r="AQ11" s="56">
        <v>11227549</v>
      </c>
      <c r="AR11" s="56">
        <v>11257094.305840341</v>
      </c>
      <c r="AS11" s="56">
        <f>18417727-AS10</f>
        <v>11414742.991538297</v>
      </c>
      <c r="AT11" s="260">
        <v>11455922.216895767</v>
      </c>
      <c r="AU11" s="260">
        <v>11781082.219649695</v>
      </c>
      <c r="AW11" s="259"/>
      <c r="AX11" s="250"/>
    </row>
    <row r="12" spans="1:50">
      <c r="A12" s="96" t="s">
        <v>51</v>
      </c>
      <c r="B12" s="96" t="s">
        <v>112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>
        <f>+R9+R6</f>
        <v>48908305.907284498</v>
      </c>
      <c r="S12" s="125">
        <f t="shared" ref="S12:AK12" si="9">+S6+S9</f>
        <v>48658366</v>
      </c>
      <c r="T12" s="125">
        <f t="shared" si="9"/>
        <v>50907282</v>
      </c>
      <c r="U12" s="125">
        <f t="shared" si="9"/>
        <v>51503397</v>
      </c>
      <c r="V12" s="125">
        <f t="shared" si="9"/>
        <v>53220022</v>
      </c>
      <c r="W12" s="125">
        <f t="shared" si="9"/>
        <v>54429453</v>
      </c>
      <c r="X12" s="125">
        <f t="shared" si="9"/>
        <v>68311413</v>
      </c>
      <c r="Y12" s="125">
        <f t="shared" si="9"/>
        <v>69930817</v>
      </c>
      <c r="Z12" s="125">
        <f t="shared" si="9"/>
        <v>70078813</v>
      </c>
      <c r="AA12" s="125">
        <f t="shared" si="9"/>
        <v>72572252</v>
      </c>
      <c r="AB12" s="125">
        <f t="shared" si="9"/>
        <v>72106820</v>
      </c>
      <c r="AC12" s="125">
        <f t="shared" si="9"/>
        <v>73144791.806492999</v>
      </c>
      <c r="AD12" s="125">
        <f t="shared" si="9"/>
        <v>74396224</v>
      </c>
      <c r="AE12" s="125">
        <f t="shared" si="9"/>
        <v>75316516</v>
      </c>
      <c r="AF12" s="125">
        <f t="shared" si="9"/>
        <v>76451755</v>
      </c>
      <c r="AG12" s="125">
        <f t="shared" si="9"/>
        <v>79218973</v>
      </c>
      <c r="AH12" s="125">
        <f t="shared" si="9"/>
        <v>80614580</v>
      </c>
      <c r="AI12" s="125">
        <f t="shared" si="9"/>
        <v>80825614</v>
      </c>
      <c r="AJ12" s="125">
        <f t="shared" si="9"/>
        <v>81484872</v>
      </c>
      <c r="AK12" s="125">
        <f t="shared" si="9"/>
        <v>81325421</v>
      </c>
      <c r="AL12" s="125">
        <f t="shared" ref="AL12:AM12" si="10">+AL6+AL9</f>
        <v>78887990</v>
      </c>
      <c r="AM12" s="125">
        <f t="shared" si="10"/>
        <v>77780795</v>
      </c>
      <c r="AN12" s="125">
        <f t="shared" ref="AN12:AU12" si="11">+AN6+AN9</f>
        <v>76592404</v>
      </c>
      <c r="AO12" s="125">
        <f t="shared" si="11"/>
        <v>76519794</v>
      </c>
      <c r="AP12" s="125">
        <f t="shared" si="11"/>
        <v>76120264.829398006</v>
      </c>
      <c r="AQ12" s="125">
        <f t="shared" si="11"/>
        <v>76482162</v>
      </c>
      <c r="AR12" s="125">
        <f t="shared" si="11"/>
        <v>77226714.66877</v>
      </c>
      <c r="AS12" s="125">
        <f t="shared" si="11"/>
        <v>78133696</v>
      </c>
      <c r="AT12" s="261">
        <f t="shared" si="11"/>
        <v>77482836</v>
      </c>
      <c r="AU12" s="261">
        <f t="shared" si="11"/>
        <v>77095404</v>
      </c>
      <c r="AW12" s="259"/>
      <c r="AX12" s="250"/>
    </row>
    <row r="13" spans="1:50" ht="15.5">
      <c r="A13" s="39"/>
      <c r="B13" s="39"/>
      <c r="AW13" s="259"/>
      <c r="AX13" s="250"/>
    </row>
    <row r="14" spans="1:50" ht="36">
      <c r="A14" s="98" t="s">
        <v>398</v>
      </c>
      <c r="B14" s="98" t="s">
        <v>386</v>
      </c>
      <c r="C14" s="43" t="s">
        <v>116</v>
      </c>
      <c r="D14" s="43" t="s">
        <v>119</v>
      </c>
      <c r="E14" s="43" t="s">
        <v>124</v>
      </c>
      <c r="F14" s="43" t="s">
        <v>135</v>
      </c>
      <c r="G14" s="43" t="s">
        <v>141</v>
      </c>
      <c r="H14" s="43" t="s">
        <v>157</v>
      </c>
      <c r="I14" s="43" t="s">
        <v>162</v>
      </c>
      <c r="J14" s="43" t="s">
        <v>165</v>
      </c>
      <c r="K14" s="43" t="s">
        <v>167</v>
      </c>
      <c r="L14" s="43" t="s">
        <v>172</v>
      </c>
      <c r="M14" s="43" t="s">
        <v>173</v>
      </c>
      <c r="N14" s="43" t="s">
        <v>178</v>
      </c>
      <c r="O14" s="43" t="s">
        <v>180</v>
      </c>
      <c r="P14" s="43" t="s">
        <v>183</v>
      </c>
      <c r="Q14" s="43" t="s">
        <v>186</v>
      </c>
      <c r="R14" s="43" t="s">
        <v>191</v>
      </c>
      <c r="S14" s="116" t="s">
        <v>221</v>
      </c>
      <c r="T14" s="116" t="s">
        <v>264</v>
      </c>
      <c r="U14" s="116" t="s">
        <v>301</v>
      </c>
      <c r="V14" s="116" t="s">
        <v>304</v>
      </c>
      <c r="W14" s="116" t="s">
        <v>308</v>
      </c>
      <c r="X14" s="116" t="s">
        <v>319</v>
      </c>
      <c r="Y14" s="116" t="s">
        <v>324</v>
      </c>
      <c r="Z14" s="116" t="s">
        <v>330</v>
      </c>
      <c r="AA14" s="116" t="s">
        <v>401</v>
      </c>
      <c r="AB14" s="116" t="s">
        <v>469</v>
      </c>
      <c r="AC14" s="116" t="s">
        <v>474</v>
      </c>
      <c r="AD14" s="116" t="s">
        <v>481</v>
      </c>
      <c r="AE14" s="116" t="s">
        <v>490</v>
      </c>
      <c r="AF14" s="116" t="s">
        <v>503</v>
      </c>
      <c r="AG14" s="116" t="s">
        <v>507</v>
      </c>
      <c r="AH14" s="116" t="s">
        <v>512</v>
      </c>
      <c r="AI14" s="116" t="s">
        <v>516</v>
      </c>
      <c r="AJ14" s="116" t="s">
        <v>519</v>
      </c>
      <c r="AK14" s="116" t="s">
        <v>524</v>
      </c>
      <c r="AL14" s="116" t="s">
        <v>542</v>
      </c>
      <c r="AM14" s="116" t="s">
        <v>548</v>
      </c>
      <c r="AN14" s="116" t="s">
        <v>650</v>
      </c>
      <c r="AO14" s="116" t="s">
        <v>653</v>
      </c>
      <c r="AP14" s="116" t="s">
        <v>663</v>
      </c>
      <c r="AQ14" s="116" t="s">
        <v>667</v>
      </c>
      <c r="AR14" s="116" t="s">
        <v>674</v>
      </c>
      <c r="AS14" s="116" t="s">
        <v>677</v>
      </c>
      <c r="AT14" s="116" t="s">
        <v>684</v>
      </c>
      <c r="AU14" s="116" t="s">
        <v>691</v>
      </c>
      <c r="AV14" s="15"/>
    </row>
    <row r="15" spans="1:50">
      <c r="A15" s="95" t="s">
        <v>52</v>
      </c>
      <c r="B15" s="95" t="s">
        <v>105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>
        <f t="shared" ref="R15:Z15" si="12">SUM(R16:R17)</f>
        <v>-940256.36897000007</v>
      </c>
      <c r="S15" s="56">
        <f t="shared" si="12"/>
        <v>-1070893</v>
      </c>
      <c r="T15" s="56">
        <f t="shared" si="12"/>
        <v>-1111115</v>
      </c>
      <c r="U15" s="56">
        <f t="shared" si="12"/>
        <v>-1089021</v>
      </c>
      <c r="V15" s="56">
        <f t="shared" si="12"/>
        <v>-1080697</v>
      </c>
      <c r="W15" s="56">
        <f t="shared" si="12"/>
        <v>-1042455</v>
      </c>
      <c r="X15" s="56">
        <f t="shared" si="12"/>
        <v>-1177424</v>
      </c>
      <c r="Y15" s="56">
        <f t="shared" si="12"/>
        <v>-1264875</v>
      </c>
      <c r="Z15" s="56">
        <f t="shared" si="12"/>
        <v>-1358991</v>
      </c>
      <c r="AA15" s="56">
        <f t="shared" ref="AA15" si="13">SUM(AA16:AA17)</f>
        <v>-1467313</v>
      </c>
      <c r="AB15" s="56">
        <f t="shared" ref="AB15:AD15" si="14">SUM(AB16:AB17)</f>
        <v>-1599419</v>
      </c>
      <c r="AC15" s="56">
        <f t="shared" si="14"/>
        <v>-1689664.6477399999</v>
      </c>
      <c r="AD15" s="56">
        <f t="shared" si="14"/>
        <v>-1741918</v>
      </c>
      <c r="AE15" s="56">
        <f t="shared" ref="AE15:AI15" si="15">SUM(AE16:AE17)</f>
        <v>-1757805</v>
      </c>
      <c r="AF15" s="56">
        <f t="shared" si="15"/>
        <v>-1796089</v>
      </c>
      <c r="AG15" s="56">
        <f t="shared" si="15"/>
        <v>-1934364</v>
      </c>
      <c r="AH15" s="56">
        <f t="shared" si="15"/>
        <v>-1891798</v>
      </c>
      <c r="AI15" s="56">
        <f t="shared" si="15"/>
        <v>-1928242</v>
      </c>
      <c r="AJ15" s="56">
        <f t="shared" ref="AJ15" si="16">SUM(AJ16:AJ17)</f>
        <v>-1855663</v>
      </c>
      <c r="AK15" s="56">
        <f t="shared" ref="AK15:AM15" si="17">SUM(AK16:AK17)</f>
        <v>-2009183</v>
      </c>
      <c r="AL15" s="56">
        <f t="shared" si="17"/>
        <v>-2005087</v>
      </c>
      <c r="AM15" s="56">
        <f t="shared" si="17"/>
        <v>-2033829</v>
      </c>
      <c r="AN15" s="56">
        <f t="shared" ref="AN15:AU15" si="18">SUM(AN16:AN17)</f>
        <v>-2022944</v>
      </c>
      <c r="AO15" s="56">
        <f t="shared" si="18"/>
        <v>-2130351</v>
      </c>
      <c r="AP15" s="56">
        <f t="shared" si="18"/>
        <v>-2103739.09283004</v>
      </c>
      <c r="AQ15" s="56">
        <f t="shared" si="18"/>
        <v>-2154115</v>
      </c>
      <c r="AR15" s="56">
        <f t="shared" si="18"/>
        <v>-2157127.5077800029</v>
      </c>
      <c r="AS15" s="56">
        <f t="shared" si="18"/>
        <v>-2126717</v>
      </c>
      <c r="AT15" s="260">
        <f t="shared" si="18"/>
        <v>-1998072</v>
      </c>
      <c r="AU15" s="260">
        <f t="shared" si="18"/>
        <v>-2050943</v>
      </c>
      <c r="AV15" s="15"/>
      <c r="AW15" s="259"/>
      <c r="AX15" s="250"/>
    </row>
    <row r="16" spans="1:50">
      <c r="A16" s="95" t="s">
        <v>48</v>
      </c>
      <c r="B16" s="95" t="s">
        <v>106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>
        <v>-351215</v>
      </c>
      <c r="S16" s="56">
        <v>-491759</v>
      </c>
      <c r="T16" s="56">
        <v>-504230</v>
      </c>
      <c r="U16" s="56">
        <v>-501222</v>
      </c>
      <c r="V16" s="56">
        <v>-512403</v>
      </c>
      <c r="W16" s="56">
        <v>-503175</v>
      </c>
      <c r="X16" s="56">
        <v>-509840</v>
      </c>
      <c r="Y16" s="56">
        <v>-530285</v>
      </c>
      <c r="Z16" s="56">
        <v>-498503</v>
      </c>
      <c r="AA16" s="56">
        <v>-498168</v>
      </c>
      <c r="AB16" s="56">
        <v>-522801</v>
      </c>
      <c r="AC16" s="56">
        <v>-570988</v>
      </c>
      <c r="AD16" s="56">
        <v>-598865</v>
      </c>
      <c r="AE16" s="56">
        <v>-596840</v>
      </c>
      <c r="AF16" s="56">
        <v>-608976</v>
      </c>
      <c r="AG16" s="56">
        <v>-622677</v>
      </c>
      <c r="AH16" s="56">
        <v>-575667</v>
      </c>
      <c r="AI16" s="56">
        <v>-576908.81191999989</v>
      </c>
      <c r="AJ16" s="56">
        <v>-601989</v>
      </c>
      <c r="AK16" s="56">
        <v>-635259</v>
      </c>
      <c r="AL16" s="56">
        <v>-648771</v>
      </c>
      <c r="AM16" s="56">
        <v>-668888.34163999977</v>
      </c>
      <c r="AN16" s="56">
        <v>-631199.00479000004</v>
      </c>
      <c r="AO16" s="56">
        <v>-660177.11090000009</v>
      </c>
      <c r="AP16" s="56">
        <v>-648426.27898999909</v>
      </c>
      <c r="AQ16" s="56">
        <v>-659183</v>
      </c>
      <c r="AR16" s="56">
        <v>-663866.26503000001</v>
      </c>
      <c r="AS16" s="56">
        <v>-665495.19633999991</v>
      </c>
      <c r="AT16" s="260">
        <v>-601137.96351999999</v>
      </c>
      <c r="AU16" s="260">
        <v>-598937.26555000013</v>
      </c>
      <c r="AW16" s="259"/>
      <c r="AX16" s="250"/>
    </row>
    <row r="17" spans="1:50">
      <c r="A17" s="95" t="s">
        <v>49</v>
      </c>
      <c r="B17" s="95" t="s">
        <v>107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>
        <v>-589041.36897000007</v>
      </c>
      <c r="S17" s="56">
        <v>-579134</v>
      </c>
      <c r="T17" s="56">
        <v>-606885</v>
      </c>
      <c r="U17" s="56">
        <v>-587799</v>
      </c>
      <c r="V17" s="56">
        <v>-568294</v>
      </c>
      <c r="W17" s="56">
        <v>-539280</v>
      </c>
      <c r="X17" s="56">
        <v>-667584</v>
      </c>
      <c r="Y17" s="56">
        <v>-734590</v>
      </c>
      <c r="Z17" s="56">
        <v>-860488</v>
      </c>
      <c r="AA17" s="56">
        <v>-969145</v>
      </c>
      <c r="AB17" s="56">
        <v>-1076618</v>
      </c>
      <c r="AC17" s="56">
        <v>-1118676.6477399999</v>
      </c>
      <c r="AD17" s="56">
        <v>-1143053</v>
      </c>
      <c r="AE17" s="56">
        <v>-1160965</v>
      </c>
      <c r="AF17" s="56">
        <v>-1187113</v>
      </c>
      <c r="AG17" s="56">
        <v>-1311687</v>
      </c>
      <c r="AH17" s="56">
        <f>-1891798-AH16</f>
        <v>-1316131</v>
      </c>
      <c r="AI17" s="56">
        <f>-1928242-AI16</f>
        <v>-1351333.1880800002</v>
      </c>
      <c r="AJ17" s="56">
        <f>-1855663-AJ16</f>
        <v>-1253674</v>
      </c>
      <c r="AK17" s="56">
        <f>-2009183-AK16</f>
        <v>-1373924</v>
      </c>
      <c r="AL17" s="56">
        <v>-1356316</v>
      </c>
      <c r="AM17" s="56">
        <f>-2033829-AM16</f>
        <v>-1364940.6583600002</v>
      </c>
      <c r="AN17" s="56">
        <v>-1391744.9952099998</v>
      </c>
      <c r="AO17" s="56">
        <v>-1470173.8890999998</v>
      </c>
      <c r="AP17" s="56">
        <v>-1455312.8138400409</v>
      </c>
      <c r="AQ17" s="56">
        <v>-1494932</v>
      </c>
      <c r="AR17" s="56">
        <v>-1493261.242750003</v>
      </c>
      <c r="AS17" s="56">
        <v>-1461221.8036600002</v>
      </c>
      <c r="AT17" s="260">
        <v>-1396934.03648</v>
      </c>
      <c r="AU17" s="260">
        <v>-1452005.7344499999</v>
      </c>
      <c r="AW17" s="259"/>
      <c r="AX17" s="250"/>
    </row>
    <row r="18" spans="1:50">
      <c r="A18" s="95" t="s">
        <v>147</v>
      </c>
      <c r="B18" s="95" t="s">
        <v>108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>
        <f t="shared" ref="R18:Z18" si="19">SUM(R19:R20)</f>
        <v>-556972.00568000006</v>
      </c>
      <c r="S18" s="56">
        <f t="shared" si="19"/>
        <v>-692720</v>
      </c>
      <c r="T18" s="56">
        <f t="shared" si="19"/>
        <v>-694201</v>
      </c>
      <c r="U18" s="56">
        <f t="shared" si="19"/>
        <v>-691816</v>
      </c>
      <c r="V18" s="56">
        <f t="shared" si="19"/>
        <v>-678170</v>
      </c>
      <c r="W18" s="56">
        <f t="shared" si="19"/>
        <v>-688133</v>
      </c>
      <c r="X18" s="56">
        <f t="shared" si="19"/>
        <v>-620204</v>
      </c>
      <c r="Y18" s="56">
        <f t="shared" si="19"/>
        <v>-620496</v>
      </c>
      <c r="Z18" s="56">
        <f t="shared" si="19"/>
        <v>-602627</v>
      </c>
      <c r="AA18" s="56">
        <f t="shared" ref="AA18" si="20">SUM(AA19:AA20)</f>
        <v>-608593</v>
      </c>
      <c r="AB18" s="56">
        <f t="shared" ref="AB18:AD18" si="21">SUM(AB19:AB20)</f>
        <v>-648790</v>
      </c>
      <c r="AC18" s="56">
        <f t="shared" si="21"/>
        <v>-620408.40756999981</v>
      </c>
      <c r="AD18" s="56">
        <f t="shared" si="21"/>
        <v>-630717</v>
      </c>
      <c r="AE18" s="56">
        <f t="shared" ref="AE18:AI18" si="22">SUM(AE19:AE20)</f>
        <v>-555444</v>
      </c>
      <c r="AF18" s="56">
        <f t="shared" si="22"/>
        <v>-533034</v>
      </c>
      <c r="AG18" s="56">
        <f t="shared" si="22"/>
        <v>-502711</v>
      </c>
      <c r="AH18" s="56">
        <f t="shared" si="22"/>
        <v>-482448.271159995</v>
      </c>
      <c r="AI18" s="56">
        <f t="shared" si="22"/>
        <v>-491488</v>
      </c>
      <c r="AJ18" s="56">
        <f t="shared" ref="AJ18" si="23">SUM(AJ19:AJ20)</f>
        <v>-477165</v>
      </c>
      <c r="AK18" s="56">
        <f t="shared" ref="AK18:AM18" si="24">SUM(AK19:AK20)</f>
        <v>-485865</v>
      </c>
      <c r="AL18" s="56">
        <f t="shared" si="24"/>
        <v>-415722</v>
      </c>
      <c r="AM18" s="56">
        <f t="shared" si="24"/>
        <v>-441774</v>
      </c>
      <c r="AN18" s="56">
        <f t="shared" ref="AN18:AU18" si="25">SUM(AN19:AN20)</f>
        <v>-472170</v>
      </c>
      <c r="AO18" s="56">
        <f t="shared" si="25"/>
        <v>-429735</v>
      </c>
      <c r="AP18" s="56">
        <f t="shared" si="25"/>
        <v>-392814.59860994999</v>
      </c>
      <c r="AQ18" s="56">
        <f t="shared" si="25"/>
        <v>-424596</v>
      </c>
      <c r="AR18" s="56">
        <f t="shared" si="25"/>
        <v>-430292.5082300069</v>
      </c>
      <c r="AS18" s="56">
        <f t="shared" si="25"/>
        <v>-469402</v>
      </c>
      <c r="AT18" s="260">
        <f t="shared" si="25"/>
        <v>-505374</v>
      </c>
      <c r="AU18" s="260">
        <f t="shared" si="25"/>
        <v>-505028</v>
      </c>
      <c r="AW18" s="259"/>
      <c r="AX18" s="249"/>
    </row>
    <row r="19" spans="1:50">
      <c r="A19" s="95" t="s">
        <v>47</v>
      </c>
      <c r="B19" s="95" t="s">
        <v>109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>
        <v>-135303.37732</v>
      </c>
      <c r="S19" s="56">
        <v>-168621.71062</v>
      </c>
      <c r="T19" s="56">
        <v>-171948.46978000001</v>
      </c>
      <c r="U19" s="56">
        <v>-174438.82798</v>
      </c>
      <c r="V19" s="56">
        <v>-172022.35799000002</v>
      </c>
      <c r="W19" s="56">
        <v>-176387.13721000002</v>
      </c>
      <c r="X19" s="56">
        <v>-144285.36044999998</v>
      </c>
      <c r="Y19" s="56">
        <v>-150140.99750999999</v>
      </c>
      <c r="Z19" s="56">
        <v>-166659.64799999999</v>
      </c>
      <c r="AA19" s="56">
        <v>-165283</v>
      </c>
      <c r="AB19" s="56">
        <v>-185218.63021</v>
      </c>
      <c r="AC19" s="56">
        <v>-159206.07329</v>
      </c>
      <c r="AD19" s="56">
        <v>-168290.80935</v>
      </c>
      <c r="AE19" s="56">
        <v>-146098.97737000001</v>
      </c>
      <c r="AF19" s="56">
        <v>-150003.73896000002</v>
      </c>
      <c r="AG19" s="56">
        <v>-137171</v>
      </c>
      <c r="AH19" s="56">
        <v>-144059.74015999999</v>
      </c>
      <c r="AI19" s="56">
        <v>-152396.05953</v>
      </c>
      <c r="AJ19" s="56">
        <v>-159564</v>
      </c>
      <c r="AK19" s="56">
        <v>-168398.82097</v>
      </c>
      <c r="AL19" s="56">
        <v>-131031</v>
      </c>
      <c r="AM19" s="56">
        <v>-142119.22509999998</v>
      </c>
      <c r="AN19" s="56">
        <v>-147763.15489999999</v>
      </c>
      <c r="AO19" s="56">
        <v>-157203.13879</v>
      </c>
      <c r="AP19" s="56">
        <v>-139265.61899000002</v>
      </c>
      <c r="AQ19" s="56">
        <v>-149433</v>
      </c>
      <c r="AR19" s="56">
        <v>-148051.65448</v>
      </c>
      <c r="AS19" s="56">
        <v>-148914.20239999998</v>
      </c>
      <c r="AT19" s="260">
        <v>-146971.916</v>
      </c>
      <c r="AU19" s="260">
        <v>-153321.97942000002</v>
      </c>
      <c r="AW19" s="259"/>
      <c r="AX19" s="249"/>
    </row>
    <row r="20" spans="1:50">
      <c r="A20" s="95" t="s">
        <v>148</v>
      </c>
      <c r="B20" s="95" t="s">
        <v>110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>
        <v>-421668.62836000003</v>
      </c>
      <c r="S20" s="56">
        <v>-524098.28937999997</v>
      </c>
      <c r="T20" s="56">
        <v>-522252.53021999996</v>
      </c>
      <c r="U20" s="56">
        <v>-517377.17202</v>
      </c>
      <c r="V20" s="56">
        <v>-506147.64200999995</v>
      </c>
      <c r="W20" s="56">
        <v>-511745.86278999998</v>
      </c>
      <c r="X20" s="56">
        <v>-475918.63955000002</v>
      </c>
      <c r="Y20" s="56">
        <v>-470355.00248999998</v>
      </c>
      <c r="Z20" s="56">
        <v>-435967.35200000001</v>
      </c>
      <c r="AA20" s="56">
        <v>-443310</v>
      </c>
      <c r="AB20" s="56">
        <v>-463571.36979000003</v>
      </c>
      <c r="AC20" s="56">
        <v>-461202.33427999978</v>
      </c>
      <c r="AD20" s="56">
        <v>-462426.19065</v>
      </c>
      <c r="AE20" s="56">
        <v>-409345.02263000002</v>
      </c>
      <c r="AF20" s="56">
        <v>-383030.26104000001</v>
      </c>
      <c r="AG20" s="56">
        <v>-365540</v>
      </c>
      <c r="AH20" s="56">
        <f>-482448.271159995-AH19</f>
        <v>-338388.53099999501</v>
      </c>
      <c r="AI20" s="56">
        <f>-491488-AI19</f>
        <v>-339091.94047000003</v>
      </c>
      <c r="AJ20" s="56">
        <f>-477165-AJ19</f>
        <v>-317601</v>
      </c>
      <c r="AK20" s="56">
        <f>-485865-AK19</f>
        <v>-317466.17903</v>
      </c>
      <c r="AL20" s="56">
        <v>-284691</v>
      </c>
      <c r="AM20" s="56">
        <f>-441774-AM19</f>
        <v>-299654.77490000002</v>
      </c>
      <c r="AN20" s="56">
        <v>-324406.84510000004</v>
      </c>
      <c r="AO20" s="56">
        <v>-272531.86121</v>
      </c>
      <c r="AP20" s="56">
        <v>-253548.97961994997</v>
      </c>
      <c r="AQ20" s="56">
        <v>-275163</v>
      </c>
      <c r="AR20" s="56">
        <v>-282240.85375000688</v>
      </c>
      <c r="AS20" s="56">
        <v>-320487.79760000005</v>
      </c>
      <c r="AT20" s="260">
        <v>-358402.08400000003</v>
      </c>
      <c r="AU20" s="260">
        <v>-351706.02058000001</v>
      </c>
      <c r="AW20" s="259"/>
      <c r="AX20" s="249"/>
    </row>
    <row r="21" spans="1:50">
      <c r="A21" s="96" t="s">
        <v>387</v>
      </c>
      <c r="B21" s="96" t="s">
        <v>388</v>
      </c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>
        <f t="shared" ref="R21:AK21" si="26">+R15+R18</f>
        <v>-1497228.3746500001</v>
      </c>
      <c r="S21" s="125">
        <f t="shared" si="26"/>
        <v>-1763613</v>
      </c>
      <c r="T21" s="125">
        <f t="shared" si="26"/>
        <v>-1805316</v>
      </c>
      <c r="U21" s="125">
        <f t="shared" si="26"/>
        <v>-1780837</v>
      </c>
      <c r="V21" s="125">
        <f t="shared" si="26"/>
        <v>-1758867</v>
      </c>
      <c r="W21" s="125">
        <f t="shared" si="26"/>
        <v>-1730588</v>
      </c>
      <c r="X21" s="125">
        <f t="shared" si="26"/>
        <v>-1797628</v>
      </c>
      <c r="Y21" s="125">
        <f t="shared" si="26"/>
        <v>-1885371</v>
      </c>
      <c r="Z21" s="125">
        <f t="shared" si="26"/>
        <v>-1961618</v>
      </c>
      <c r="AA21" s="125">
        <f t="shared" si="26"/>
        <v>-2075906</v>
      </c>
      <c r="AB21" s="125">
        <f t="shared" si="26"/>
        <v>-2248209</v>
      </c>
      <c r="AC21" s="125">
        <f t="shared" si="26"/>
        <v>-2310073.0553099997</v>
      </c>
      <c r="AD21" s="125">
        <f t="shared" si="26"/>
        <v>-2372635</v>
      </c>
      <c r="AE21" s="125">
        <f t="shared" si="26"/>
        <v>-2313249</v>
      </c>
      <c r="AF21" s="125">
        <f t="shared" si="26"/>
        <v>-2329123</v>
      </c>
      <c r="AG21" s="125">
        <f t="shared" si="26"/>
        <v>-2437075</v>
      </c>
      <c r="AH21" s="125">
        <f t="shared" si="26"/>
        <v>-2374246.2711599949</v>
      </c>
      <c r="AI21" s="125">
        <f t="shared" si="26"/>
        <v>-2419730</v>
      </c>
      <c r="AJ21" s="125">
        <f t="shared" si="26"/>
        <v>-2332828</v>
      </c>
      <c r="AK21" s="125">
        <f t="shared" si="26"/>
        <v>-2495048</v>
      </c>
      <c r="AL21" s="125">
        <f t="shared" ref="AL21:AM21" si="27">+AL15+AL18</f>
        <v>-2420809</v>
      </c>
      <c r="AM21" s="125">
        <f t="shared" si="27"/>
        <v>-2475603</v>
      </c>
      <c r="AN21" s="125">
        <f t="shared" ref="AN21:AU21" si="28">+AN15+AN18</f>
        <v>-2495114</v>
      </c>
      <c r="AO21" s="125">
        <f t="shared" si="28"/>
        <v>-2560086</v>
      </c>
      <c r="AP21" s="125">
        <f t="shared" si="28"/>
        <v>-2496553.69143999</v>
      </c>
      <c r="AQ21" s="125">
        <f t="shared" si="28"/>
        <v>-2578711</v>
      </c>
      <c r="AR21" s="125">
        <f t="shared" si="28"/>
        <v>-2587420.0160100097</v>
      </c>
      <c r="AS21" s="125">
        <f t="shared" si="28"/>
        <v>-2596119</v>
      </c>
      <c r="AT21" s="261">
        <f t="shared" si="28"/>
        <v>-2503446</v>
      </c>
      <c r="AU21" s="261">
        <f t="shared" si="28"/>
        <v>-2555971</v>
      </c>
      <c r="AW21" s="134"/>
      <c r="AX21" s="246"/>
    </row>
    <row r="22" spans="1:50" ht="15.5">
      <c r="A22" s="39"/>
      <c r="B22" s="39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</row>
    <row r="23" spans="1:50" ht="24">
      <c r="A23" s="98" t="s">
        <v>399</v>
      </c>
      <c r="B23" s="98" t="s">
        <v>385</v>
      </c>
      <c r="C23" s="43" t="s">
        <v>116</v>
      </c>
      <c r="D23" s="43" t="s">
        <v>119</v>
      </c>
      <c r="E23" s="43" t="s">
        <v>124</v>
      </c>
      <c r="F23" s="43" t="s">
        <v>135</v>
      </c>
      <c r="G23" s="43" t="s">
        <v>141</v>
      </c>
      <c r="H23" s="43" t="s">
        <v>157</v>
      </c>
      <c r="I23" s="43" t="s">
        <v>162</v>
      </c>
      <c r="J23" s="43" t="s">
        <v>165</v>
      </c>
      <c r="K23" s="43" t="s">
        <v>167</v>
      </c>
      <c r="L23" s="43" t="s">
        <v>172</v>
      </c>
      <c r="M23" s="43" t="s">
        <v>173</v>
      </c>
      <c r="N23" s="43" t="s">
        <v>178</v>
      </c>
      <c r="O23" s="43" t="s">
        <v>180</v>
      </c>
      <c r="P23" s="43" t="s">
        <v>183</v>
      </c>
      <c r="Q23" s="43" t="s">
        <v>186</v>
      </c>
      <c r="R23" s="43" t="s">
        <v>191</v>
      </c>
      <c r="S23" s="116" t="s">
        <v>221</v>
      </c>
      <c r="T23" s="116" t="s">
        <v>264</v>
      </c>
      <c r="U23" s="116" t="s">
        <v>301</v>
      </c>
      <c r="V23" s="116" t="s">
        <v>304</v>
      </c>
      <c r="W23" s="116" t="s">
        <v>308</v>
      </c>
      <c r="X23" s="116" t="s">
        <v>319</v>
      </c>
      <c r="Y23" s="116" t="s">
        <v>324</v>
      </c>
      <c r="Z23" s="116" t="s">
        <v>330</v>
      </c>
      <c r="AA23" s="116" t="s">
        <v>401</v>
      </c>
      <c r="AB23" s="116" t="s">
        <v>469</v>
      </c>
      <c r="AC23" s="116" t="s">
        <v>474</v>
      </c>
      <c r="AD23" s="116" t="s">
        <v>481</v>
      </c>
      <c r="AE23" s="116" t="s">
        <v>490</v>
      </c>
      <c r="AF23" s="116" t="s">
        <v>503</v>
      </c>
      <c r="AG23" s="116" t="s">
        <v>507</v>
      </c>
      <c r="AH23" s="116" t="s">
        <v>512</v>
      </c>
      <c r="AI23" s="116" t="s">
        <v>516</v>
      </c>
      <c r="AJ23" s="116" t="s">
        <v>519</v>
      </c>
      <c r="AK23" s="116" t="s">
        <v>524</v>
      </c>
      <c r="AL23" s="116" t="s">
        <v>542</v>
      </c>
      <c r="AM23" s="116" t="s">
        <v>548</v>
      </c>
      <c r="AN23" s="116" t="s">
        <v>650</v>
      </c>
      <c r="AO23" s="116" t="s">
        <v>653</v>
      </c>
      <c r="AP23" s="116" t="s">
        <v>663</v>
      </c>
      <c r="AQ23" s="116" t="s">
        <v>667</v>
      </c>
      <c r="AR23" s="116" t="s">
        <v>674</v>
      </c>
      <c r="AS23" s="116" t="s">
        <v>677</v>
      </c>
      <c r="AT23" s="116" t="s">
        <v>684</v>
      </c>
      <c r="AU23" s="116" t="s">
        <v>691</v>
      </c>
    </row>
    <row r="24" spans="1:50">
      <c r="A24" s="95" t="s">
        <v>52</v>
      </c>
      <c r="B24" s="95" t="s">
        <v>105</v>
      </c>
      <c r="C24" s="13">
        <f t="shared" ref="C24:H24" si="29">+C25+C26</f>
        <v>30742167</v>
      </c>
      <c r="D24" s="13">
        <f t="shared" si="29"/>
        <v>30830927</v>
      </c>
      <c r="E24" s="13">
        <f t="shared" si="29"/>
        <v>31086877</v>
      </c>
      <c r="F24" s="13">
        <f t="shared" si="29"/>
        <v>31435346</v>
      </c>
      <c r="G24" s="13">
        <f t="shared" si="29"/>
        <v>33218689</v>
      </c>
      <c r="H24" s="13">
        <f t="shared" si="29"/>
        <v>33783984</v>
      </c>
      <c r="I24" s="13">
        <f>+I25+I26</f>
        <v>32776611</v>
      </c>
      <c r="J24" s="13">
        <f>+J25+J26</f>
        <v>32905953</v>
      </c>
      <c r="K24" s="13">
        <f>+K25+K26</f>
        <v>32647736</v>
      </c>
      <c r="L24" s="13">
        <f>+L25+L26</f>
        <v>33397980</v>
      </c>
      <c r="M24" s="13">
        <v>32829570</v>
      </c>
      <c r="N24" s="13">
        <f>+N25+N26</f>
        <v>33241628</v>
      </c>
      <c r="O24" s="13">
        <f>+O25+O26</f>
        <v>32523853</v>
      </c>
      <c r="P24" s="13">
        <f>+P25+P26</f>
        <v>32490861</v>
      </c>
      <c r="Q24" s="13">
        <f>+Q25+Q26</f>
        <v>32462778</v>
      </c>
      <c r="R24" s="13">
        <f>+R25+R26</f>
        <v>32012824</v>
      </c>
      <c r="S24" s="13">
        <f t="shared" ref="S24:AK24" si="30">+S25+S26</f>
        <v>31296535</v>
      </c>
      <c r="T24" s="13">
        <f t="shared" si="30"/>
        <v>32679919</v>
      </c>
      <c r="U24" s="13">
        <f t="shared" si="30"/>
        <v>33202585</v>
      </c>
      <c r="V24" s="13">
        <f t="shared" si="30"/>
        <v>34015349</v>
      </c>
      <c r="W24" s="13">
        <f t="shared" si="30"/>
        <v>34780016</v>
      </c>
      <c r="X24" s="13">
        <f t="shared" si="30"/>
        <v>48206690</v>
      </c>
      <c r="Y24" s="13">
        <f t="shared" si="30"/>
        <v>49762031</v>
      </c>
      <c r="Z24" s="13">
        <f t="shared" si="30"/>
        <v>49518743</v>
      </c>
      <c r="AA24" s="13">
        <f t="shared" si="30"/>
        <v>51462018</v>
      </c>
      <c r="AB24" s="13">
        <f t="shared" si="30"/>
        <v>51626857</v>
      </c>
      <c r="AC24" s="13">
        <f t="shared" si="30"/>
        <v>52727237.28706</v>
      </c>
      <c r="AD24" s="13">
        <f t="shared" si="30"/>
        <v>53645684</v>
      </c>
      <c r="AE24" s="13">
        <f t="shared" si="30"/>
        <v>54542184</v>
      </c>
      <c r="AF24" s="13">
        <f t="shared" si="30"/>
        <v>55418875</v>
      </c>
      <c r="AG24" s="13">
        <f t="shared" si="30"/>
        <v>57830983</v>
      </c>
      <c r="AH24" s="13">
        <f t="shared" si="30"/>
        <v>59182858</v>
      </c>
      <c r="AI24" s="13">
        <f t="shared" si="30"/>
        <v>59186402</v>
      </c>
      <c r="AJ24" s="13">
        <f t="shared" si="30"/>
        <v>59366795</v>
      </c>
      <c r="AK24" s="13">
        <f t="shared" si="30"/>
        <v>58625994</v>
      </c>
      <c r="AL24" s="13">
        <f t="shared" ref="AL24:AM24" si="31">+AL25+AL26</f>
        <v>57761466</v>
      </c>
      <c r="AM24" s="13">
        <f t="shared" si="31"/>
        <v>56471994</v>
      </c>
      <c r="AN24" s="13">
        <f t="shared" ref="AN24:AP24" si="32">+AN25+AN26</f>
        <v>55940344</v>
      </c>
      <c r="AO24" s="13">
        <f t="shared" si="32"/>
        <v>56126918</v>
      </c>
      <c r="AP24" s="13">
        <f t="shared" si="32"/>
        <v>56366565.136567958</v>
      </c>
      <c r="AQ24" s="13">
        <f t="shared" ref="AQ24:AU24" si="33">+AQ25+AQ26</f>
        <v>56263955</v>
      </c>
      <c r="AR24" s="56">
        <f t="shared" si="33"/>
        <v>56856001.903090924</v>
      </c>
      <c r="AS24" s="56">
        <f t="shared" si="33"/>
        <v>57589252</v>
      </c>
      <c r="AT24" s="260">
        <f t="shared" si="33"/>
        <v>56933655</v>
      </c>
      <c r="AU24" s="260">
        <f t="shared" si="33"/>
        <v>56188515</v>
      </c>
      <c r="AV24" s="14"/>
      <c r="AW24" s="14"/>
      <c r="AX24" s="14"/>
    </row>
    <row r="25" spans="1:50">
      <c r="A25" s="95" t="s">
        <v>48</v>
      </c>
      <c r="B25" s="95" t="s">
        <v>106</v>
      </c>
      <c r="C25" s="13">
        <v>26908340</v>
      </c>
      <c r="D25" s="13">
        <v>26741141</v>
      </c>
      <c r="E25" s="13">
        <v>26730536</v>
      </c>
      <c r="F25" s="13">
        <v>26906624</v>
      </c>
      <c r="G25" s="13">
        <v>28464410</v>
      </c>
      <c r="H25" s="13">
        <v>28777461</v>
      </c>
      <c r="I25" s="13">
        <v>27656249</v>
      </c>
      <c r="J25" s="13">
        <v>27683396</v>
      </c>
      <c r="K25" s="13">
        <v>27290063</v>
      </c>
      <c r="L25" s="13">
        <v>27813996</v>
      </c>
      <c r="M25" s="13">
        <v>27155206</v>
      </c>
      <c r="N25" s="13">
        <v>27492036</v>
      </c>
      <c r="O25" s="13">
        <v>26688152</v>
      </c>
      <c r="P25" s="13">
        <v>26490617</v>
      </c>
      <c r="Q25" s="13">
        <v>26297728</v>
      </c>
      <c r="R25" s="13">
        <v>25752818</v>
      </c>
      <c r="S25" s="13">
        <f t="shared" ref="S25:AH26" si="34">+S7+S16</f>
        <v>25903502</v>
      </c>
      <c r="T25" s="13">
        <f t="shared" si="34"/>
        <v>26995785</v>
      </c>
      <c r="U25" s="13">
        <f t="shared" si="34"/>
        <v>27274468</v>
      </c>
      <c r="V25" s="13">
        <f t="shared" si="34"/>
        <v>27806782</v>
      </c>
      <c r="W25" s="13">
        <f t="shared" si="34"/>
        <v>28235851</v>
      </c>
      <c r="X25" s="13">
        <f t="shared" si="34"/>
        <v>34838019</v>
      </c>
      <c r="Y25" s="13">
        <f t="shared" si="34"/>
        <v>36043915</v>
      </c>
      <c r="Z25" s="13">
        <f t="shared" si="34"/>
        <v>35933640</v>
      </c>
      <c r="AA25" s="13">
        <f t="shared" si="34"/>
        <v>37835551</v>
      </c>
      <c r="AB25" s="13">
        <f t="shared" si="34"/>
        <v>38076242</v>
      </c>
      <c r="AC25" s="13">
        <f t="shared" si="34"/>
        <v>39057836</v>
      </c>
      <c r="AD25" s="13">
        <f t="shared" si="34"/>
        <v>39952812</v>
      </c>
      <c r="AE25" s="56">
        <f t="shared" si="34"/>
        <v>40786642</v>
      </c>
      <c r="AF25" s="13">
        <f t="shared" si="34"/>
        <v>41489234</v>
      </c>
      <c r="AG25" s="13">
        <f t="shared" si="34"/>
        <v>42405822</v>
      </c>
      <c r="AH25" s="13">
        <f t="shared" si="34"/>
        <v>43712968</v>
      </c>
      <c r="AI25" s="13">
        <f t="shared" ref="AI25:AK26" si="35">+AI7+AI16</f>
        <v>43833644.26769001</v>
      </c>
      <c r="AJ25" s="13">
        <f t="shared" si="35"/>
        <v>43903525.230020486</v>
      </c>
      <c r="AK25" s="13">
        <f t="shared" si="35"/>
        <v>42962987</v>
      </c>
      <c r="AL25" s="13">
        <f t="shared" ref="AL25:AP26" si="36">+AL7+AL16</f>
        <v>41948202</v>
      </c>
      <c r="AM25" s="13">
        <f t="shared" si="36"/>
        <v>40535444.181130067</v>
      </c>
      <c r="AN25" s="13">
        <f t="shared" si="36"/>
        <v>39725343.980679989</v>
      </c>
      <c r="AO25" s="13">
        <f t="shared" si="36"/>
        <v>39527806.887889802</v>
      </c>
      <c r="AP25" s="13">
        <f t="shared" si="36"/>
        <v>39345751.996809885</v>
      </c>
      <c r="AQ25" s="13">
        <f t="shared" ref="AQ25:AS26" si="37">+AQ7+AQ16</f>
        <v>39182885</v>
      </c>
      <c r="AR25" s="56">
        <f t="shared" si="37"/>
        <v>39236039.248739906</v>
      </c>
      <c r="AS25" s="56">
        <f t="shared" si="37"/>
        <v>39397779.9934</v>
      </c>
      <c r="AT25" s="260">
        <f t="shared" ref="AT25:AU25" si="38">+AT7+AT16</f>
        <v>38634597.860720001</v>
      </c>
      <c r="AU25" s="260">
        <f t="shared" si="38"/>
        <v>37894199.355230093</v>
      </c>
      <c r="AV25" s="14"/>
      <c r="AW25" s="14"/>
      <c r="AX25" s="14"/>
    </row>
    <row r="26" spans="1:50">
      <c r="A26" s="95" t="s">
        <v>49</v>
      </c>
      <c r="B26" s="95" t="s">
        <v>107</v>
      </c>
      <c r="C26" s="13">
        <v>3833827</v>
      </c>
      <c r="D26" s="13">
        <v>4089786</v>
      </c>
      <c r="E26" s="13">
        <v>4356341</v>
      </c>
      <c r="F26" s="13">
        <v>4528722</v>
      </c>
      <c r="G26" s="13">
        <v>4754279</v>
      </c>
      <c r="H26" s="13">
        <v>5006523</v>
      </c>
      <c r="I26" s="13">
        <v>5120362</v>
      </c>
      <c r="J26" s="13">
        <v>5222557</v>
      </c>
      <c r="K26" s="13">
        <v>5357673</v>
      </c>
      <c r="L26" s="13">
        <v>5583984</v>
      </c>
      <c r="M26" s="13">
        <v>5674364</v>
      </c>
      <c r="N26" s="13">
        <v>5749592</v>
      </c>
      <c r="O26" s="13">
        <v>5835701</v>
      </c>
      <c r="P26" s="13">
        <v>6000244</v>
      </c>
      <c r="Q26" s="13">
        <v>6165050</v>
      </c>
      <c r="R26" s="13">
        <v>6260006</v>
      </c>
      <c r="S26" s="13">
        <f t="shared" ref="S26:Z26" si="39">+S8+S17</f>
        <v>5393033</v>
      </c>
      <c r="T26" s="13">
        <f t="shared" si="39"/>
        <v>5684134</v>
      </c>
      <c r="U26" s="13">
        <f t="shared" si="39"/>
        <v>5928117</v>
      </c>
      <c r="V26" s="13">
        <f t="shared" si="39"/>
        <v>6208567</v>
      </c>
      <c r="W26" s="13">
        <f t="shared" si="39"/>
        <v>6544165</v>
      </c>
      <c r="X26" s="13">
        <f t="shared" si="39"/>
        <v>13368671</v>
      </c>
      <c r="Y26" s="13">
        <f t="shared" si="39"/>
        <v>13718116</v>
      </c>
      <c r="Z26" s="13">
        <f t="shared" si="39"/>
        <v>13585103</v>
      </c>
      <c r="AA26" s="13">
        <f t="shared" si="34"/>
        <v>13626467</v>
      </c>
      <c r="AB26" s="13">
        <f t="shared" si="34"/>
        <v>13550615</v>
      </c>
      <c r="AC26" s="13">
        <f t="shared" si="34"/>
        <v>13669401.28706</v>
      </c>
      <c r="AD26" s="13">
        <f t="shared" si="34"/>
        <v>13692872</v>
      </c>
      <c r="AE26" s="56">
        <f t="shared" si="34"/>
        <v>13755542</v>
      </c>
      <c r="AF26" s="13">
        <f t="shared" si="34"/>
        <v>13929641</v>
      </c>
      <c r="AG26" s="13">
        <f t="shared" si="34"/>
        <v>15425161</v>
      </c>
      <c r="AH26" s="13">
        <f t="shared" si="34"/>
        <v>15469890</v>
      </c>
      <c r="AI26" s="13">
        <f t="shared" si="35"/>
        <v>15352757.732309988</v>
      </c>
      <c r="AJ26" s="13">
        <f t="shared" si="35"/>
        <v>15463269.769979514</v>
      </c>
      <c r="AK26" s="13">
        <f t="shared" si="35"/>
        <v>15663007</v>
      </c>
      <c r="AL26" s="13">
        <f t="shared" ref="AL26" si="40">+AL8+AL17</f>
        <v>15813264</v>
      </c>
      <c r="AM26" s="13">
        <f t="shared" si="36"/>
        <v>15936549.81886993</v>
      </c>
      <c r="AN26" s="13">
        <f t="shared" si="36"/>
        <v>16215000.019320011</v>
      </c>
      <c r="AO26" s="13">
        <f t="shared" si="36"/>
        <v>16599111.112110198</v>
      </c>
      <c r="AP26" s="13">
        <f t="shared" si="36"/>
        <v>17020813.139758073</v>
      </c>
      <c r="AQ26" s="13">
        <f t="shared" ref="AQ26" si="41">+AQ8+AQ17</f>
        <v>17081070</v>
      </c>
      <c r="AR26" s="56">
        <f t="shared" si="37"/>
        <v>17619962.654351018</v>
      </c>
      <c r="AS26" s="56">
        <f t="shared" si="37"/>
        <v>18191472.006599996</v>
      </c>
      <c r="AT26" s="260">
        <f t="shared" ref="AT26" si="42">+AT8+AT17</f>
        <v>18299057.139280003</v>
      </c>
      <c r="AU26" s="260">
        <f>+AU8+AU17</f>
        <v>18294315.644769903</v>
      </c>
      <c r="AV26" s="14"/>
      <c r="AW26" s="14"/>
      <c r="AX26" s="14"/>
    </row>
    <row r="27" spans="1:50">
      <c r="A27" s="95" t="s">
        <v>147</v>
      </c>
      <c r="B27" s="95" t="s">
        <v>108</v>
      </c>
      <c r="C27" s="13">
        <f t="shared" ref="C27:H27" si="43">+C28+C29</f>
        <v>12106384</v>
      </c>
      <c r="D27" s="13">
        <f t="shared" si="43"/>
        <v>12543497.021708965</v>
      </c>
      <c r="E27" s="13">
        <f t="shared" si="43"/>
        <v>12760238.538342863</v>
      </c>
      <c r="F27" s="13">
        <f t="shared" si="43"/>
        <v>12707352.635487549</v>
      </c>
      <c r="G27" s="13">
        <f t="shared" si="43"/>
        <v>13316025.994025126</v>
      </c>
      <c r="H27" s="13">
        <f t="shared" si="43"/>
        <v>13214246</v>
      </c>
      <c r="I27" s="13">
        <f>+I28+I29</f>
        <v>13414597.27810131</v>
      </c>
      <c r="J27" s="13">
        <f>+J28+J29</f>
        <v>13463428.415475644</v>
      </c>
      <c r="K27" s="13">
        <f>+K28+K29</f>
        <v>13437500.02018708</v>
      </c>
      <c r="L27" s="13">
        <f>+L28+L29</f>
        <v>13566647.960958436</v>
      </c>
      <c r="M27" s="13">
        <v>13561470.378984131</v>
      </c>
      <c r="N27" s="13">
        <f>+N28+N29</f>
        <v>13778415.163200701</v>
      </c>
      <c r="O27" s="13">
        <f>+O28+O29</f>
        <v>14468550.340389799</v>
      </c>
      <c r="P27" s="13">
        <f>+P28+P29</f>
        <v>14825461.871290002</v>
      </c>
      <c r="Q27" s="13">
        <f>+Q28+Q29</f>
        <v>15130448</v>
      </c>
      <c r="R27" s="13">
        <f>+R28+R29</f>
        <v>15398253.532634467</v>
      </c>
      <c r="S27" s="13">
        <f t="shared" ref="S27:AK27" si="44">+S28+S29</f>
        <v>15598218.000000002</v>
      </c>
      <c r="T27" s="13">
        <f t="shared" si="44"/>
        <v>16422047</v>
      </c>
      <c r="U27" s="13">
        <f t="shared" si="44"/>
        <v>16519975</v>
      </c>
      <c r="V27" s="13">
        <f t="shared" si="44"/>
        <v>17445806</v>
      </c>
      <c r="W27" s="13">
        <f t="shared" si="44"/>
        <v>17918849</v>
      </c>
      <c r="X27" s="13">
        <f t="shared" si="44"/>
        <v>18307095</v>
      </c>
      <c r="Y27" s="13">
        <f t="shared" si="44"/>
        <v>18283415</v>
      </c>
      <c r="Z27" s="13">
        <f t="shared" si="44"/>
        <v>18598452.000000007</v>
      </c>
      <c r="AA27" s="13">
        <f t="shared" si="44"/>
        <v>19034328</v>
      </c>
      <c r="AB27" s="13">
        <f t="shared" si="44"/>
        <v>18231754</v>
      </c>
      <c r="AC27" s="13">
        <f t="shared" si="44"/>
        <v>18107481.464123003</v>
      </c>
      <c r="AD27" s="13">
        <f t="shared" si="44"/>
        <v>18377905</v>
      </c>
      <c r="AE27" s="56">
        <f t="shared" si="44"/>
        <v>18461083</v>
      </c>
      <c r="AF27" s="13">
        <f t="shared" si="44"/>
        <v>18703757</v>
      </c>
      <c r="AG27" s="13">
        <f t="shared" si="44"/>
        <v>18950915</v>
      </c>
      <c r="AH27" s="13">
        <f t="shared" si="44"/>
        <v>19057475.728840005</v>
      </c>
      <c r="AI27" s="13">
        <f t="shared" si="44"/>
        <v>19219482</v>
      </c>
      <c r="AJ27" s="13">
        <f t="shared" si="44"/>
        <v>19785249</v>
      </c>
      <c r="AK27" s="13">
        <f t="shared" si="44"/>
        <v>20204379</v>
      </c>
      <c r="AL27" s="13">
        <f t="shared" ref="AL27:AM27" si="45">+AL28+AL29</f>
        <v>18705715</v>
      </c>
      <c r="AM27" s="13">
        <f t="shared" si="45"/>
        <v>18833198</v>
      </c>
      <c r="AN27" s="13">
        <f t="shared" ref="AN27:AP27" si="46">+AN28+AN29</f>
        <v>18156946</v>
      </c>
      <c r="AO27" s="13">
        <f t="shared" si="46"/>
        <v>17832790</v>
      </c>
      <c r="AP27" s="13">
        <f t="shared" si="46"/>
        <v>17257146.001390051</v>
      </c>
      <c r="AQ27" s="13">
        <f t="shared" ref="AQ27:AU27" si="47">+AQ28+AQ29</f>
        <v>17639496</v>
      </c>
      <c r="AR27" s="56">
        <f t="shared" si="47"/>
        <v>17783292.749669068</v>
      </c>
      <c r="AS27" s="56">
        <f t="shared" si="47"/>
        <v>17948325</v>
      </c>
      <c r="AT27" s="260">
        <f t="shared" si="47"/>
        <v>18045735</v>
      </c>
      <c r="AU27" s="260">
        <f t="shared" si="47"/>
        <v>18350918</v>
      </c>
      <c r="AV27" s="14"/>
      <c r="AW27" s="14"/>
      <c r="AX27" s="14"/>
    </row>
    <row r="28" spans="1:50">
      <c r="A28" s="95" t="s">
        <v>47</v>
      </c>
      <c r="B28" s="95" t="s">
        <v>109</v>
      </c>
      <c r="C28" s="13">
        <v>3574977</v>
      </c>
      <c r="D28" s="13">
        <v>3710673.9509789585</v>
      </c>
      <c r="E28" s="13">
        <v>3959673.6818528576</v>
      </c>
      <c r="F28" s="13">
        <v>3973995.996827547</v>
      </c>
      <c r="G28" s="13">
        <v>4067754.0962551231</v>
      </c>
      <c r="H28" s="13">
        <v>4209195</v>
      </c>
      <c r="I28" s="13">
        <v>4359387.3711613137</v>
      </c>
      <c r="J28" s="13">
        <v>4639776.7185956417</v>
      </c>
      <c r="K28" s="13">
        <v>4733524.6133170743</v>
      </c>
      <c r="L28" s="13">
        <v>4920023.9526984338</v>
      </c>
      <c r="M28" s="13">
        <v>4975844.4154541316</v>
      </c>
      <c r="N28" s="13">
        <v>5132389.3175206799</v>
      </c>
      <c r="O28" s="13">
        <v>5181709.0327597558</v>
      </c>
      <c r="P28" s="13">
        <v>5327986.15912</v>
      </c>
      <c r="Q28" s="13">
        <v>5487648.4850399988</v>
      </c>
      <c r="R28" s="13">
        <v>5605797.4103544615</v>
      </c>
      <c r="S28" s="13">
        <f t="shared" ref="S28:AH29" si="48">+S10+S19</f>
        <v>5728955.15731203</v>
      </c>
      <c r="T28" s="13">
        <f t="shared" si="48"/>
        <v>5953755.6345199998</v>
      </c>
      <c r="U28" s="13">
        <f t="shared" si="48"/>
        <v>5966374.0403500004</v>
      </c>
      <c r="V28" s="13">
        <f t="shared" si="48"/>
        <v>6333605.3875072394</v>
      </c>
      <c r="W28" s="13">
        <f t="shared" si="48"/>
        <v>6421026.3562329244</v>
      </c>
      <c r="X28" s="13">
        <f t="shared" si="48"/>
        <v>6525620.0075415485</v>
      </c>
      <c r="Y28" s="13">
        <f t="shared" si="48"/>
        <v>6537080.4323721929</v>
      </c>
      <c r="Z28" s="13">
        <f t="shared" si="48"/>
        <v>6659944.9509217069</v>
      </c>
      <c r="AA28" s="13">
        <f t="shared" si="48"/>
        <v>6629111</v>
      </c>
      <c r="AB28" s="13">
        <f t="shared" si="48"/>
        <v>6450950.5906045577</v>
      </c>
      <c r="AC28" s="13">
        <f t="shared" si="48"/>
        <v>6311166.8520930093</v>
      </c>
      <c r="AD28" s="13">
        <f t="shared" si="48"/>
        <v>6303540.1942280587</v>
      </c>
      <c r="AE28" s="56">
        <f t="shared" si="48"/>
        <v>6277865.5855846331</v>
      </c>
      <c r="AF28" s="13">
        <f t="shared" si="48"/>
        <v>6390754.3105591703</v>
      </c>
      <c r="AG28" s="13">
        <f t="shared" si="48"/>
        <v>6657119.6606694264</v>
      </c>
      <c r="AH28" s="13">
        <f t="shared" si="48"/>
        <v>6805473.2598400004</v>
      </c>
      <c r="AI28" s="13">
        <f t="shared" ref="AI28:AK29" si="49">+AI10+AI19</f>
        <v>6812690.6412720326</v>
      </c>
      <c r="AJ28" s="13">
        <f t="shared" si="49"/>
        <v>6919055.2839310532</v>
      </c>
      <c r="AK28" s="13">
        <f t="shared" si="49"/>
        <v>7114302.1742218537</v>
      </c>
      <c r="AL28" s="13">
        <f t="shared" ref="AL28:AM29" si="50">+AL10+AL19</f>
        <v>7029575</v>
      </c>
      <c r="AM28" s="13">
        <f t="shared" si="50"/>
        <v>6970899.8639624612</v>
      </c>
      <c r="AN28" s="13">
        <f t="shared" ref="AN28:AP29" si="51">+AN10+AN19</f>
        <v>6790464.2698970018</v>
      </c>
      <c r="AO28" s="13">
        <f t="shared" si="51"/>
        <v>6754708.9245252227</v>
      </c>
      <c r="AP28" s="13">
        <f t="shared" si="51"/>
        <v>6599114.1798579684</v>
      </c>
      <c r="AQ28" s="13">
        <f t="shared" ref="AQ28:AS29" si="52">+AQ10+AQ19</f>
        <v>6687110</v>
      </c>
      <c r="AR28" s="56">
        <f t="shared" si="52"/>
        <v>6808439.2975787343</v>
      </c>
      <c r="AS28" s="56">
        <f t="shared" si="52"/>
        <v>6854069.8060617018</v>
      </c>
      <c r="AT28" s="260">
        <f t="shared" ref="AT28:AU29" si="53">+AT10+AT19</f>
        <v>6948214.8671042342</v>
      </c>
      <c r="AU28" s="260">
        <f t="shared" si="53"/>
        <v>6921541.8009303063</v>
      </c>
      <c r="AV28" s="14"/>
      <c r="AW28" s="14"/>
      <c r="AX28" s="14"/>
    </row>
    <row r="29" spans="1:50">
      <c r="A29" s="95" t="s">
        <v>148</v>
      </c>
      <c r="B29" s="95" t="s">
        <v>110</v>
      </c>
      <c r="C29" s="13">
        <v>8531407</v>
      </c>
      <c r="D29" s="13">
        <v>8832823.0707300063</v>
      </c>
      <c r="E29" s="13">
        <v>8800564.8564900048</v>
      </c>
      <c r="F29" s="13">
        <v>8733356.6386600025</v>
      </c>
      <c r="G29" s="13">
        <v>9248271.8977700025</v>
      </c>
      <c r="H29" s="13">
        <v>9005051</v>
      </c>
      <c r="I29" s="13">
        <v>9055209.9069399964</v>
      </c>
      <c r="J29" s="13">
        <v>8823651.6968800016</v>
      </c>
      <c r="K29" s="13">
        <v>8703975.4068700057</v>
      </c>
      <c r="L29" s="13">
        <v>8646624.0082600024</v>
      </c>
      <c r="M29" s="13">
        <v>8585625.9635300003</v>
      </c>
      <c r="N29" s="13">
        <f>13778415.1632007-N28</f>
        <v>8646025.8456800207</v>
      </c>
      <c r="O29" s="13">
        <f>14468550.3403898-O28</f>
        <v>9286841.3076300435</v>
      </c>
      <c r="P29" s="13">
        <f>14825461.87129-P28</f>
        <v>9497475.7121700011</v>
      </c>
      <c r="Q29" s="13">
        <v>9642799.5149600022</v>
      </c>
      <c r="R29" s="13">
        <v>9792456.1222800054</v>
      </c>
      <c r="S29" s="13">
        <f t="shared" ref="S29:Z29" si="54">+S11+S20</f>
        <v>9869262.8426879719</v>
      </c>
      <c r="T29" s="13">
        <f t="shared" si="54"/>
        <v>10468291.36548</v>
      </c>
      <c r="U29" s="13">
        <f t="shared" si="54"/>
        <v>10553600.959650001</v>
      </c>
      <c r="V29" s="13">
        <f t="shared" si="54"/>
        <v>11112200.612492761</v>
      </c>
      <c r="W29" s="13">
        <f t="shared" si="54"/>
        <v>11497822.643767076</v>
      </c>
      <c r="X29" s="13">
        <f t="shared" si="54"/>
        <v>11781474.992458452</v>
      </c>
      <c r="Y29" s="13">
        <f t="shared" si="54"/>
        <v>11746334.567627806</v>
      </c>
      <c r="Z29" s="13">
        <f t="shared" si="54"/>
        <v>11938507.049078301</v>
      </c>
      <c r="AA29" s="13">
        <f t="shared" si="48"/>
        <v>12405217</v>
      </c>
      <c r="AB29" s="13">
        <f t="shared" si="48"/>
        <v>11780803.409395441</v>
      </c>
      <c r="AC29" s="13">
        <f t="shared" si="48"/>
        <v>11796314.612029992</v>
      </c>
      <c r="AD29" s="13">
        <f t="shared" si="48"/>
        <v>12074364.805771941</v>
      </c>
      <c r="AE29" s="56">
        <f t="shared" si="48"/>
        <v>12183217.414415365</v>
      </c>
      <c r="AF29" s="13">
        <f t="shared" si="48"/>
        <v>12313002.68944083</v>
      </c>
      <c r="AG29" s="13">
        <f t="shared" si="48"/>
        <v>12293795.339330573</v>
      </c>
      <c r="AH29" s="13">
        <f t="shared" si="48"/>
        <v>12252002.469000004</v>
      </c>
      <c r="AI29" s="13">
        <f t="shared" si="49"/>
        <v>12406791.358727967</v>
      </c>
      <c r="AJ29" s="13">
        <f t="shared" si="49"/>
        <v>12866193.716068946</v>
      </c>
      <c r="AK29" s="13">
        <f t="shared" si="49"/>
        <v>13090076.825778147</v>
      </c>
      <c r="AL29" s="13">
        <f t="shared" ref="AL29" si="55">+AL11+AL20</f>
        <v>11676140</v>
      </c>
      <c r="AM29" s="13">
        <f t="shared" si="50"/>
        <v>11862298.136037538</v>
      </c>
      <c r="AN29" s="13">
        <f t="shared" ref="AN29:AO29" si="56">+AN11+AN20</f>
        <v>11366481.730102997</v>
      </c>
      <c r="AO29" s="13">
        <f t="shared" si="56"/>
        <v>11078081.075474776</v>
      </c>
      <c r="AP29" s="13">
        <f t="shared" si="51"/>
        <v>10658031.821532082</v>
      </c>
      <c r="AQ29" s="13">
        <f t="shared" ref="AQ29" si="57">+AQ11+AQ20</f>
        <v>10952386</v>
      </c>
      <c r="AR29" s="56">
        <f t="shared" si="52"/>
        <v>10974853.452090334</v>
      </c>
      <c r="AS29" s="56">
        <f t="shared" si="52"/>
        <v>11094255.193938298</v>
      </c>
      <c r="AT29" s="260">
        <f t="shared" ref="AT29" si="58">+AT11+AT20</f>
        <v>11097520.132895766</v>
      </c>
      <c r="AU29" s="260">
        <f t="shared" si="53"/>
        <v>11429376.199069696</v>
      </c>
      <c r="AV29" s="14"/>
      <c r="AW29" s="14"/>
      <c r="AX29" s="14"/>
    </row>
    <row r="30" spans="1:50">
      <c r="A30" s="96" t="s">
        <v>50</v>
      </c>
      <c r="B30" s="96" t="s">
        <v>111</v>
      </c>
      <c r="C30" s="16">
        <v>42848551</v>
      </c>
      <c r="D30" s="16">
        <v>43374424.021708965</v>
      </c>
      <c r="E30" s="16">
        <v>43847115.538342863</v>
      </c>
      <c r="F30" s="16">
        <f t="shared" ref="F30:K30" si="59">+F27+F24</f>
        <v>44142698.635487549</v>
      </c>
      <c r="G30" s="16">
        <f t="shared" si="59"/>
        <v>46534714.994025126</v>
      </c>
      <c r="H30" s="16">
        <f t="shared" si="59"/>
        <v>46998230</v>
      </c>
      <c r="I30" s="16">
        <f t="shared" si="59"/>
        <v>46191208.27810131</v>
      </c>
      <c r="J30" s="16">
        <f t="shared" si="59"/>
        <v>46369381.415475644</v>
      </c>
      <c r="K30" s="16">
        <f t="shared" si="59"/>
        <v>46085236.02018708</v>
      </c>
      <c r="L30" s="16">
        <f>+L27+L24</f>
        <v>46964627.960958436</v>
      </c>
      <c r="M30" s="16">
        <v>46391040.378984131</v>
      </c>
      <c r="N30" s="16">
        <f>+N27+N24</f>
        <v>47020043.163200699</v>
      </c>
      <c r="O30" s="16">
        <f>+O27+O24</f>
        <v>46992403.340389803</v>
      </c>
      <c r="P30" s="16">
        <f>+P27+P24</f>
        <v>47316322.871289998</v>
      </c>
      <c r="Q30" s="16">
        <f>+Q27+Q24</f>
        <v>47593226</v>
      </c>
      <c r="R30" s="16">
        <f>+R27+R24</f>
        <v>47411077.532634467</v>
      </c>
      <c r="S30" s="16">
        <f t="shared" ref="S30:AK30" si="60">+S27+S24</f>
        <v>46894753</v>
      </c>
      <c r="T30" s="16">
        <f t="shared" si="60"/>
        <v>49101966</v>
      </c>
      <c r="U30" s="16">
        <f t="shared" si="60"/>
        <v>49722560</v>
      </c>
      <c r="V30" s="16">
        <f t="shared" si="60"/>
        <v>51461155</v>
      </c>
      <c r="W30" s="16">
        <f t="shared" si="60"/>
        <v>52698865</v>
      </c>
      <c r="X30" s="16">
        <f t="shared" si="60"/>
        <v>66513785</v>
      </c>
      <c r="Y30" s="16">
        <f t="shared" si="60"/>
        <v>68045446</v>
      </c>
      <c r="Z30" s="16">
        <f t="shared" si="60"/>
        <v>68117195</v>
      </c>
      <c r="AA30" s="16">
        <f t="shared" si="60"/>
        <v>70496346</v>
      </c>
      <c r="AB30" s="16">
        <f t="shared" si="60"/>
        <v>69858611</v>
      </c>
      <c r="AC30" s="16">
        <f t="shared" si="60"/>
        <v>70834718.751183003</v>
      </c>
      <c r="AD30" s="16">
        <f t="shared" si="60"/>
        <v>72023589</v>
      </c>
      <c r="AE30" s="16">
        <f t="shared" si="60"/>
        <v>73003267</v>
      </c>
      <c r="AF30" s="16">
        <f t="shared" si="60"/>
        <v>74122632</v>
      </c>
      <c r="AG30" s="16">
        <f t="shared" si="60"/>
        <v>76781898</v>
      </c>
      <c r="AH30" s="16">
        <f t="shared" si="60"/>
        <v>78240333.728840008</v>
      </c>
      <c r="AI30" s="16">
        <f t="shared" si="60"/>
        <v>78405884</v>
      </c>
      <c r="AJ30" s="16">
        <f t="shared" si="60"/>
        <v>79152044</v>
      </c>
      <c r="AK30" s="16">
        <f t="shared" si="60"/>
        <v>78830373</v>
      </c>
      <c r="AL30" s="16">
        <f t="shared" ref="AL30:AM30" si="61">+AL27+AL24</f>
        <v>76467181</v>
      </c>
      <c r="AM30" s="16">
        <f t="shared" si="61"/>
        <v>75305192</v>
      </c>
      <c r="AN30" s="16">
        <f t="shared" ref="AN30:AP30" si="62">+AN27+AN24</f>
        <v>74097290</v>
      </c>
      <c r="AO30" s="16">
        <f t="shared" si="62"/>
        <v>73959708</v>
      </c>
      <c r="AP30" s="16">
        <f t="shared" si="62"/>
        <v>73623711.137958005</v>
      </c>
      <c r="AQ30" s="16">
        <f t="shared" ref="AQ30:AU30" si="63">+AQ27+AQ24</f>
        <v>73903451</v>
      </c>
      <c r="AR30" s="125">
        <f t="shared" si="63"/>
        <v>74639294.652759999</v>
      </c>
      <c r="AS30" s="125">
        <f t="shared" si="63"/>
        <v>75537577</v>
      </c>
      <c r="AT30" s="261">
        <f t="shared" si="63"/>
        <v>74979390</v>
      </c>
      <c r="AU30" s="261">
        <f t="shared" si="63"/>
        <v>74539433</v>
      </c>
      <c r="AV30" s="14"/>
      <c r="AW30" s="14"/>
      <c r="AX30" s="14"/>
    </row>
    <row r="32" spans="1:50" ht="24">
      <c r="A32" s="98" t="s">
        <v>296</v>
      </c>
      <c r="B32" s="98" t="s">
        <v>289</v>
      </c>
      <c r="S32" s="97" t="s">
        <v>221</v>
      </c>
      <c r="T32" s="97" t="s">
        <v>264</v>
      </c>
      <c r="U32" s="97" t="s">
        <v>301</v>
      </c>
      <c r="V32" s="97" t="s">
        <v>304</v>
      </c>
      <c r="W32" s="97" t="s">
        <v>308</v>
      </c>
      <c r="X32" s="97" t="s">
        <v>319</v>
      </c>
      <c r="Y32" s="97" t="s">
        <v>324</v>
      </c>
      <c r="Z32" s="97" t="s">
        <v>330</v>
      </c>
      <c r="AA32" s="116" t="s">
        <v>401</v>
      </c>
      <c r="AB32" s="116" t="s">
        <v>469</v>
      </c>
      <c r="AC32" s="116" t="s">
        <v>474</v>
      </c>
      <c r="AD32" s="116" t="s">
        <v>481</v>
      </c>
      <c r="AE32" s="116" t="s">
        <v>490</v>
      </c>
      <c r="AF32" s="116" t="s">
        <v>503</v>
      </c>
      <c r="AG32" s="116" t="s">
        <v>507</v>
      </c>
      <c r="AH32" s="116" t="s">
        <v>512</v>
      </c>
      <c r="AI32" s="116" t="s">
        <v>516</v>
      </c>
      <c r="AJ32" s="116" t="s">
        <v>519</v>
      </c>
      <c r="AK32" s="116" t="s">
        <v>524</v>
      </c>
      <c r="AL32" s="116" t="s">
        <v>542</v>
      </c>
      <c r="AM32" s="116" t="s">
        <v>548</v>
      </c>
      <c r="AN32" s="116" t="s">
        <v>650</v>
      </c>
      <c r="AO32" s="116" t="s">
        <v>653</v>
      </c>
      <c r="AP32" s="116" t="s">
        <v>663</v>
      </c>
      <c r="AQ32" s="116" t="s">
        <v>667</v>
      </c>
      <c r="AR32" s="116" t="s">
        <v>674</v>
      </c>
      <c r="AS32" s="116" t="s">
        <v>677</v>
      </c>
      <c r="AT32" s="116" t="s">
        <v>684</v>
      </c>
      <c r="AU32" s="116" t="s">
        <v>691</v>
      </c>
    </row>
    <row r="33" spans="1:50">
      <c r="A33" s="95" t="s">
        <v>52</v>
      </c>
      <c r="B33" s="95" t="s">
        <v>105</v>
      </c>
      <c r="S33" s="13">
        <v>1084842</v>
      </c>
      <c r="T33" s="13">
        <v>1133832</v>
      </c>
      <c r="U33" s="13">
        <v>1172732</v>
      </c>
      <c r="V33" s="13">
        <v>1232493.57274</v>
      </c>
      <c r="W33" s="13">
        <v>1221378</v>
      </c>
      <c r="X33" s="13">
        <v>1322107.0177</v>
      </c>
      <c r="Y33" s="13">
        <v>1415700.4571099998</v>
      </c>
      <c r="Z33" s="13">
        <v>1479645</v>
      </c>
      <c r="AA33" s="13">
        <v>1459789</v>
      </c>
      <c r="AB33" s="13">
        <v>1467759</v>
      </c>
      <c r="AC33" s="13">
        <v>1573046</v>
      </c>
      <c r="AD33" s="13">
        <v>1602752</v>
      </c>
      <c r="AE33" s="13">
        <v>1619705</v>
      </c>
      <c r="AF33" s="13">
        <v>1660470</v>
      </c>
      <c r="AG33" s="13">
        <v>497756</v>
      </c>
      <c r="AH33" s="13">
        <v>362952</v>
      </c>
      <c r="AI33" s="13">
        <v>296593</v>
      </c>
      <c r="AJ33" s="13">
        <v>189762</v>
      </c>
      <c r="AK33" s="13">
        <v>135011.33852000002</v>
      </c>
      <c r="AL33" s="13">
        <v>97916</v>
      </c>
      <c r="AM33" s="13">
        <v>75046</v>
      </c>
      <c r="AN33" s="13">
        <v>54709.121270000003</v>
      </c>
      <c r="AO33" s="13">
        <v>23502</v>
      </c>
      <c r="AP33" s="13">
        <v>19280</v>
      </c>
      <c r="AQ33" s="13">
        <v>7165</v>
      </c>
      <c r="AR33" s="13">
        <v>5828</v>
      </c>
      <c r="AS33" s="13">
        <v>4661</v>
      </c>
      <c r="AT33" s="257">
        <v>1755</v>
      </c>
      <c r="AU33" s="257">
        <v>1399</v>
      </c>
      <c r="AX33" s="15"/>
    </row>
    <row r="34" spans="1:50">
      <c r="A34" s="95" t="s">
        <v>147</v>
      </c>
      <c r="B34" s="95" t="s">
        <v>108</v>
      </c>
      <c r="S34" s="13" t="e">
        <f>+#REF!+#REF!</f>
        <v>#REF!</v>
      </c>
      <c r="T34" s="13">
        <f>19912+157</f>
        <v>20069</v>
      </c>
      <c r="U34" s="13">
        <v>19885</v>
      </c>
      <c r="V34" s="13">
        <v>18031.050599999999</v>
      </c>
      <c r="W34" s="13">
        <v>19533</v>
      </c>
      <c r="X34" s="13">
        <v>19317.459360000001</v>
      </c>
      <c r="Y34" s="13">
        <v>19911.941790000001</v>
      </c>
      <c r="Z34" s="13">
        <v>18550</v>
      </c>
      <c r="AA34" s="13">
        <v>15725</v>
      </c>
      <c r="AB34" s="13">
        <v>13239</v>
      </c>
      <c r="AC34" s="13">
        <v>13647</v>
      </c>
      <c r="AD34" s="13">
        <v>13001</v>
      </c>
      <c r="AE34" s="13">
        <v>12680</v>
      </c>
      <c r="AF34" s="13">
        <v>11149</v>
      </c>
      <c r="AG34" s="13">
        <v>25</v>
      </c>
      <c r="AH34" s="13">
        <v>40</v>
      </c>
      <c r="AI34" s="13">
        <v>100</v>
      </c>
      <c r="AJ34" s="13">
        <v>52</v>
      </c>
      <c r="AK34" s="13">
        <v>88.796570000000003</v>
      </c>
      <c r="AL34" s="13">
        <v>66</v>
      </c>
      <c r="AM34" s="13">
        <v>32</v>
      </c>
      <c r="AN34" s="13">
        <v>71.020430000000005</v>
      </c>
      <c r="AO34" s="13">
        <v>110</v>
      </c>
      <c r="AP34" s="13">
        <v>69</v>
      </c>
      <c r="AQ34" s="13">
        <v>61</v>
      </c>
      <c r="AR34" s="13">
        <v>77</v>
      </c>
      <c r="AS34" s="13">
        <v>67</v>
      </c>
      <c r="AT34" s="257">
        <v>70</v>
      </c>
      <c r="AU34" s="257">
        <v>67</v>
      </c>
    </row>
    <row r="35" spans="1:50">
      <c r="A35" s="96" t="s">
        <v>33</v>
      </c>
      <c r="B35" s="96" t="s">
        <v>83</v>
      </c>
      <c r="S35" s="16" t="e">
        <f>+S34+S33</f>
        <v>#REF!</v>
      </c>
      <c r="T35" s="16">
        <f>+T34+T33</f>
        <v>1153901</v>
      </c>
      <c r="U35" s="16">
        <f>+U34+U33</f>
        <v>1192617</v>
      </c>
      <c r="V35" s="16">
        <f>+V34+V33</f>
        <v>1250524.6233399999</v>
      </c>
      <c r="W35" s="16">
        <f>+W34+W33</f>
        <v>1240911</v>
      </c>
      <c r="X35" s="16">
        <v>1341424.4770599999</v>
      </c>
      <c r="Y35" s="16">
        <f>+Y34+Y33</f>
        <v>1435612.3988999999</v>
      </c>
      <c r="Z35" s="16">
        <f>+Z34+Z33</f>
        <v>1498195</v>
      </c>
      <c r="AA35" s="16">
        <f t="shared" ref="AA35:AK35" si="64">+AA34+AA33</f>
        <v>1475514</v>
      </c>
      <c r="AB35" s="16">
        <f t="shared" si="64"/>
        <v>1480998</v>
      </c>
      <c r="AC35" s="16">
        <f t="shared" si="64"/>
        <v>1586693</v>
      </c>
      <c r="AD35" s="16">
        <f t="shared" si="64"/>
        <v>1615753</v>
      </c>
      <c r="AE35" s="16">
        <f t="shared" si="64"/>
        <v>1632385</v>
      </c>
      <c r="AF35" s="16">
        <f t="shared" si="64"/>
        <v>1671619</v>
      </c>
      <c r="AG35" s="16">
        <f t="shared" si="64"/>
        <v>497781</v>
      </c>
      <c r="AH35" s="16">
        <f t="shared" si="64"/>
        <v>362992</v>
      </c>
      <c r="AI35" s="16">
        <f t="shared" si="64"/>
        <v>296693</v>
      </c>
      <c r="AJ35" s="16">
        <f t="shared" si="64"/>
        <v>189814</v>
      </c>
      <c r="AK35" s="16">
        <f t="shared" si="64"/>
        <v>135100.13509000003</v>
      </c>
      <c r="AL35" s="16">
        <f t="shared" ref="AL35:AN35" si="65">+AL34+AL33</f>
        <v>97982</v>
      </c>
      <c r="AM35" s="16">
        <f t="shared" si="65"/>
        <v>75078</v>
      </c>
      <c r="AN35" s="16">
        <f t="shared" si="65"/>
        <v>54780.1417</v>
      </c>
      <c r="AO35" s="16">
        <f t="shared" ref="AO35:AU35" si="66">+AO34+AO33</f>
        <v>23612</v>
      </c>
      <c r="AP35" s="16">
        <f t="shared" si="66"/>
        <v>19349</v>
      </c>
      <c r="AQ35" s="16">
        <f t="shared" si="66"/>
        <v>7226</v>
      </c>
      <c r="AR35" s="16">
        <f t="shared" si="66"/>
        <v>5905</v>
      </c>
      <c r="AS35" s="16">
        <f t="shared" si="66"/>
        <v>4728</v>
      </c>
      <c r="AT35" s="258">
        <f t="shared" si="66"/>
        <v>1825</v>
      </c>
      <c r="AU35" s="258">
        <f t="shared" si="66"/>
        <v>1466</v>
      </c>
      <c r="AX35" s="15"/>
    </row>
    <row r="36" spans="1:50"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</row>
    <row r="37" spans="1:50">
      <c r="A37" s="98" t="s">
        <v>312</v>
      </c>
      <c r="B37" s="98" t="s">
        <v>313</v>
      </c>
      <c r="S37" s="16" t="e">
        <f>+S35+S30</f>
        <v>#REF!</v>
      </c>
      <c r="T37" s="16">
        <f>+T35+T30</f>
        <v>50255867</v>
      </c>
      <c r="U37" s="16">
        <f>+U35+U30</f>
        <v>50915177</v>
      </c>
      <c r="V37" s="16">
        <f>+V35+V30</f>
        <v>52711679.623340003</v>
      </c>
      <c r="W37" s="16">
        <f>+W35+W30</f>
        <v>53939776</v>
      </c>
      <c r="X37" s="16">
        <v>67855209.477060005</v>
      </c>
      <c r="Y37" s="16">
        <f>+Y35+Y30</f>
        <v>69481058.398900002</v>
      </c>
      <c r="Z37" s="16">
        <f>+Z35+Z30</f>
        <v>69615390</v>
      </c>
      <c r="AA37" s="16">
        <f t="shared" ref="AA37:AK37" si="67">+AA35+AA30</f>
        <v>71971860</v>
      </c>
      <c r="AB37" s="16">
        <f t="shared" si="67"/>
        <v>71339609</v>
      </c>
      <c r="AC37" s="16">
        <f t="shared" si="67"/>
        <v>72421411.751183003</v>
      </c>
      <c r="AD37" s="16">
        <f t="shared" si="67"/>
        <v>73639342</v>
      </c>
      <c r="AE37" s="16">
        <f t="shared" si="67"/>
        <v>74635652</v>
      </c>
      <c r="AF37" s="16">
        <f t="shared" si="67"/>
        <v>75794251</v>
      </c>
      <c r="AG37" s="16">
        <f t="shared" si="67"/>
        <v>77279679</v>
      </c>
      <c r="AH37" s="16">
        <f t="shared" si="67"/>
        <v>78603325.728840008</v>
      </c>
      <c r="AI37" s="16">
        <f t="shared" si="67"/>
        <v>78702577</v>
      </c>
      <c r="AJ37" s="16">
        <f t="shared" si="67"/>
        <v>79341858</v>
      </c>
      <c r="AK37" s="16">
        <f t="shared" si="67"/>
        <v>78965473.135089993</v>
      </c>
      <c r="AL37" s="16">
        <f t="shared" ref="AL37:AM37" si="68">+AL35+AL30</f>
        <v>76565163</v>
      </c>
      <c r="AM37" s="16">
        <f t="shared" si="68"/>
        <v>75380270</v>
      </c>
      <c r="AN37" s="16">
        <f t="shared" ref="AN37:AS37" si="69">+AN35+AN30</f>
        <v>74152070.1417</v>
      </c>
      <c r="AO37" s="16">
        <f t="shared" si="69"/>
        <v>73983320</v>
      </c>
      <c r="AP37" s="16">
        <f t="shared" si="69"/>
        <v>73643060.137958005</v>
      </c>
      <c r="AQ37" s="16">
        <f t="shared" si="69"/>
        <v>73910677</v>
      </c>
      <c r="AR37" s="16">
        <f t="shared" si="69"/>
        <v>74645199.652759999</v>
      </c>
      <c r="AS37" s="16">
        <f t="shared" si="69"/>
        <v>75542305</v>
      </c>
      <c r="AT37" s="16">
        <f>+AT35+AT30</f>
        <v>74981215</v>
      </c>
      <c r="AU37" s="16">
        <f>+AU35+AU30</f>
        <v>74540899</v>
      </c>
    </row>
    <row r="38" spans="1:50">
      <c r="C38" s="14"/>
      <c r="D38" s="14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</row>
    <row r="39" spans="1:50" ht="24">
      <c r="A39" s="98" t="s">
        <v>129</v>
      </c>
      <c r="B39" s="98" t="s">
        <v>134</v>
      </c>
      <c r="C39" s="43" t="s">
        <v>115</v>
      </c>
      <c r="D39" s="43" t="s">
        <v>117</v>
      </c>
      <c r="E39" s="43" t="s">
        <v>123</v>
      </c>
      <c r="F39" s="43" t="s">
        <v>136</v>
      </c>
      <c r="G39" s="43" t="s">
        <v>140</v>
      </c>
      <c r="H39" s="43" t="s">
        <v>158</v>
      </c>
      <c r="I39" s="43" t="s">
        <v>161</v>
      </c>
      <c r="J39" s="43" t="s">
        <v>164</v>
      </c>
      <c r="K39" s="43" t="s">
        <v>166</v>
      </c>
      <c r="L39" s="43" t="s">
        <v>171</v>
      </c>
      <c r="M39" s="43" t="s">
        <v>174</v>
      </c>
      <c r="N39" s="43" t="s">
        <v>177</v>
      </c>
      <c r="O39" s="43" t="s">
        <v>179</v>
      </c>
      <c r="P39" s="43" t="s">
        <v>182</v>
      </c>
      <c r="Q39" s="43" t="s">
        <v>185</v>
      </c>
      <c r="R39" s="43" t="s">
        <v>190</v>
      </c>
      <c r="S39" s="97" t="s">
        <v>252</v>
      </c>
      <c r="T39" s="97" t="s">
        <v>263</v>
      </c>
      <c r="U39" s="97" t="s">
        <v>298</v>
      </c>
      <c r="V39" s="97" t="s">
        <v>303</v>
      </c>
      <c r="W39" s="97" t="s">
        <v>306</v>
      </c>
      <c r="X39" s="97" t="s">
        <v>316</v>
      </c>
      <c r="Y39" s="97" t="s">
        <v>320</v>
      </c>
      <c r="Z39" s="97" t="s">
        <v>326</v>
      </c>
      <c r="AA39" s="97" t="s">
        <v>400</v>
      </c>
      <c r="AB39" s="97" t="s">
        <v>470</v>
      </c>
      <c r="AC39" s="97" t="s">
        <v>475</v>
      </c>
      <c r="AD39" s="97" t="s">
        <v>484</v>
      </c>
      <c r="AE39" s="97" t="s">
        <v>489</v>
      </c>
      <c r="AF39" s="97" t="s">
        <v>493</v>
      </c>
      <c r="AG39" s="97" t="s">
        <v>505</v>
      </c>
      <c r="AH39" s="97" t="s">
        <v>510</v>
      </c>
      <c r="AI39" s="97" t="s">
        <v>515</v>
      </c>
      <c r="AJ39" s="97" t="s">
        <v>523</v>
      </c>
      <c r="AK39" s="97" t="s">
        <v>527</v>
      </c>
      <c r="AL39" s="97" t="s">
        <v>533</v>
      </c>
      <c r="AM39" s="97" t="s">
        <v>547</v>
      </c>
      <c r="AN39" s="97" t="s">
        <v>648</v>
      </c>
      <c r="AO39" s="97" t="s">
        <v>652</v>
      </c>
      <c r="AP39" s="97" t="s">
        <v>661</v>
      </c>
      <c r="AQ39" s="97" t="s">
        <v>666</v>
      </c>
      <c r="AR39" s="97" t="s">
        <v>673</v>
      </c>
      <c r="AS39" s="97" t="s">
        <v>681</v>
      </c>
      <c r="AT39" s="97" t="s">
        <v>686</v>
      </c>
      <c r="AU39" s="97" t="s">
        <v>690</v>
      </c>
      <c r="AV39" s="15"/>
      <c r="AW39" s="15"/>
    </row>
    <row r="40" spans="1:50">
      <c r="A40" s="95" t="s">
        <v>125</v>
      </c>
      <c r="B40" s="95" t="s">
        <v>130</v>
      </c>
      <c r="C40" s="13">
        <v>325178.53782999999</v>
      </c>
      <c r="D40" s="13">
        <v>235999.69176000002</v>
      </c>
      <c r="E40" s="13">
        <v>240969.14009</v>
      </c>
      <c r="F40" s="13">
        <v>215808.15065000008</v>
      </c>
      <c r="G40" s="13">
        <v>172747.93235999998</v>
      </c>
      <c r="H40" s="13">
        <v>155845.44564000005</v>
      </c>
      <c r="I40" s="13">
        <v>151603.61952999991</v>
      </c>
      <c r="J40" s="13">
        <v>206702.21825999999</v>
      </c>
      <c r="K40" s="13">
        <v>229627.52849999999</v>
      </c>
      <c r="L40" s="13">
        <v>252877.38209</v>
      </c>
      <c r="M40" s="13">
        <v>208731.92252999998</v>
      </c>
      <c r="N40" s="13">
        <v>204249.1277500001</v>
      </c>
      <c r="O40" s="13">
        <v>427019.60679999995</v>
      </c>
      <c r="P40" s="13">
        <v>628379.59853000008</v>
      </c>
      <c r="Q40" s="13">
        <v>725459.60420000018</v>
      </c>
      <c r="R40" s="13">
        <v>756442.81199999992</v>
      </c>
      <c r="S40" s="13">
        <v>748359.92855999991</v>
      </c>
      <c r="T40" s="13">
        <v>863214.91701999982</v>
      </c>
      <c r="U40" s="13">
        <v>826269.55774999945</v>
      </c>
      <c r="V40" s="13">
        <v>892206.71239</v>
      </c>
      <c r="W40" s="13">
        <v>855738.11329000001</v>
      </c>
      <c r="X40" s="13">
        <v>1070157.5</v>
      </c>
      <c r="Y40" s="13">
        <v>1200712.7</v>
      </c>
      <c r="Z40" s="13">
        <v>1167730</v>
      </c>
      <c r="AA40" s="13">
        <v>1343161.07057</v>
      </c>
      <c r="AB40" s="13">
        <v>1545330.9851899999</v>
      </c>
      <c r="AC40" s="13">
        <v>1749470.8791500004</v>
      </c>
      <c r="AD40" s="13">
        <v>2021307.4980800003</v>
      </c>
      <c r="AE40" s="13">
        <v>2140688.8827499999</v>
      </c>
      <c r="AF40" s="13">
        <v>2564577.0901800003</v>
      </c>
      <c r="AG40" s="13">
        <v>2248901.6647499995</v>
      </c>
      <c r="AH40" s="13">
        <v>2798701.6543400008</v>
      </c>
      <c r="AI40" s="13">
        <v>1984647.8798199999</v>
      </c>
      <c r="AJ40" s="13">
        <v>2218579.3639199999</v>
      </c>
      <c r="AK40" s="13">
        <v>1417224</v>
      </c>
      <c r="AL40" s="13">
        <v>932635.96037000045</v>
      </c>
      <c r="AM40" s="13">
        <v>924763.87468999997</v>
      </c>
      <c r="AN40" s="13">
        <v>992699.38963000011</v>
      </c>
      <c r="AO40" s="13">
        <v>1258718.50288</v>
      </c>
      <c r="AP40" s="13">
        <v>1664618.2505899998</v>
      </c>
      <c r="AQ40" s="13">
        <v>1644016.5757800001</v>
      </c>
      <c r="AR40" s="13">
        <v>1681762.5274800002</v>
      </c>
      <c r="AS40" s="13">
        <v>1430335</v>
      </c>
      <c r="AT40" s="13">
        <v>1133328.5031099999</v>
      </c>
      <c r="AU40" s="13">
        <v>788636.40821000002</v>
      </c>
      <c r="AV40" s="15"/>
      <c r="AW40" s="15"/>
    </row>
    <row r="41" spans="1:50">
      <c r="A41" s="95" t="s">
        <v>126</v>
      </c>
      <c r="B41" s="95" t="s">
        <v>131</v>
      </c>
      <c r="C41" s="13">
        <v>446790.32225999999</v>
      </c>
      <c r="D41" s="13">
        <v>516117.94455000019</v>
      </c>
      <c r="E41" s="13">
        <v>577626.35250000004</v>
      </c>
      <c r="F41" s="13">
        <v>589479.70348000014</v>
      </c>
      <c r="G41" s="13">
        <v>674352.51968000014</v>
      </c>
      <c r="H41" s="13">
        <v>669269.74951999995</v>
      </c>
      <c r="I41" s="13">
        <v>583853.86268999986</v>
      </c>
      <c r="J41" s="13">
        <v>556571.69283000031</v>
      </c>
      <c r="K41" s="13">
        <v>619160.93426000001</v>
      </c>
      <c r="L41" s="13">
        <v>647430.63153999997</v>
      </c>
      <c r="M41" s="13">
        <v>512173.24245999998</v>
      </c>
      <c r="N41" s="13">
        <v>486063.92428000073</v>
      </c>
      <c r="O41" s="13">
        <v>557605.47565000004</v>
      </c>
      <c r="P41" s="13">
        <v>571966.86201000016</v>
      </c>
      <c r="Q41" s="13">
        <v>599350.85854999989</v>
      </c>
      <c r="R41" s="13">
        <v>575054.24468999973</v>
      </c>
      <c r="S41" s="13">
        <v>769005.90110000002</v>
      </c>
      <c r="T41" s="13">
        <v>821486.45424000011</v>
      </c>
      <c r="U41" s="13">
        <v>810059.19527999987</v>
      </c>
      <c r="V41" s="13">
        <v>808994.8036199999</v>
      </c>
      <c r="W41" s="13">
        <v>988453.46557999996</v>
      </c>
      <c r="X41" s="13">
        <v>1309140.2</v>
      </c>
      <c r="Y41" s="13">
        <v>1548745.983</v>
      </c>
      <c r="Z41" s="13">
        <v>1116260.6850999999</v>
      </c>
      <c r="AA41" s="13">
        <v>1297170.05165</v>
      </c>
      <c r="AB41" s="13">
        <v>1080513.3442199999</v>
      </c>
      <c r="AC41" s="13">
        <v>1214062.1387799997</v>
      </c>
      <c r="AD41" s="13">
        <v>1028139.9999999999</v>
      </c>
      <c r="AE41" s="13">
        <v>1274302.7708399999</v>
      </c>
      <c r="AF41" s="13">
        <v>1438800.3178399999</v>
      </c>
      <c r="AG41" s="13">
        <v>1579261.3014400003</v>
      </c>
      <c r="AH41" s="13">
        <v>1300889.6607000006</v>
      </c>
      <c r="AI41" s="13">
        <v>1120066.1770500001</v>
      </c>
      <c r="AJ41" s="13">
        <v>1412962.6424199997</v>
      </c>
      <c r="AK41" s="13">
        <v>1522321</v>
      </c>
      <c r="AL41" s="13">
        <v>1382246.9141399998</v>
      </c>
      <c r="AM41" s="13">
        <v>1516097.58892</v>
      </c>
      <c r="AN41" s="13">
        <v>1643858.7172600001</v>
      </c>
      <c r="AO41" s="13">
        <v>1659290.6569999997</v>
      </c>
      <c r="AP41" s="13">
        <v>1510368.1915400003</v>
      </c>
      <c r="AQ41" s="13">
        <v>1489281.5307700001</v>
      </c>
      <c r="AR41" s="13">
        <v>1976510.37995</v>
      </c>
      <c r="AS41" s="13">
        <v>1954292</v>
      </c>
      <c r="AT41" s="13">
        <v>1591607.3882800001</v>
      </c>
      <c r="AU41" s="13">
        <v>1779295.4073300001</v>
      </c>
      <c r="AV41" s="15"/>
      <c r="AW41" s="15"/>
    </row>
    <row r="42" spans="1:50">
      <c r="A42" s="95" t="s">
        <v>127</v>
      </c>
      <c r="B42" s="95" t="s">
        <v>132</v>
      </c>
      <c r="C42" s="13">
        <v>501024.54350403801</v>
      </c>
      <c r="D42" s="13">
        <v>581151.37171175738</v>
      </c>
      <c r="E42" s="13">
        <v>651514.77243446303</v>
      </c>
      <c r="F42" s="13">
        <v>518718.54961397988</v>
      </c>
      <c r="G42" s="13">
        <v>538256.36392365268</v>
      </c>
      <c r="H42" s="13">
        <v>632994.77458088647</v>
      </c>
      <c r="I42" s="13">
        <v>575674.92971072299</v>
      </c>
      <c r="J42" s="13">
        <v>715169.06928203581</v>
      </c>
      <c r="K42" s="13">
        <v>635910.98789117998</v>
      </c>
      <c r="L42" s="13">
        <v>650777.29897475825</v>
      </c>
      <c r="M42" s="13">
        <v>653296.76105166506</v>
      </c>
      <c r="N42" s="13">
        <v>702909.24547111779</v>
      </c>
      <c r="O42" s="13">
        <v>689845.82016191189</v>
      </c>
      <c r="P42" s="13">
        <v>755184.20550445095</v>
      </c>
      <c r="Q42" s="13">
        <v>751176.81744054402</v>
      </c>
      <c r="R42" s="13">
        <v>837512.97619112395</v>
      </c>
      <c r="S42" s="13">
        <v>802209.19985499594</v>
      </c>
      <c r="T42" s="13">
        <v>856462.69321789488</v>
      </c>
      <c r="U42" s="13">
        <v>781231.49213835201</v>
      </c>
      <c r="V42" s="13">
        <v>1063792.364628139</v>
      </c>
      <c r="W42" s="13">
        <v>862398.04227112699</v>
      </c>
      <c r="X42" s="13">
        <v>896559.18792210333</v>
      </c>
      <c r="Y42" s="13">
        <v>748760.47972563142</v>
      </c>
      <c r="Z42" s="13">
        <v>962995.00216276757</v>
      </c>
      <c r="AA42" s="13">
        <v>618296.73819516413</v>
      </c>
      <c r="AB42" s="13">
        <v>563024.8109483365</v>
      </c>
      <c r="AC42" s="13">
        <v>520249.06826727674</v>
      </c>
      <c r="AD42" s="13">
        <v>773609.8327635217</v>
      </c>
      <c r="AE42" s="13">
        <v>761597.09946196212</v>
      </c>
      <c r="AF42" s="13">
        <v>1022279.0890324159</v>
      </c>
      <c r="AG42" s="13">
        <v>1017377.2566156981</v>
      </c>
      <c r="AH42" s="13">
        <v>1075685.4116165135</v>
      </c>
      <c r="AI42" s="13">
        <v>856177.79501622915</v>
      </c>
      <c r="AJ42" s="13">
        <v>905000</v>
      </c>
      <c r="AK42" s="13">
        <v>937120</v>
      </c>
      <c r="AL42" s="13">
        <v>844872.03986895457</v>
      </c>
      <c r="AM42" s="13">
        <v>776411.1134503088</v>
      </c>
      <c r="AN42" s="13">
        <v>804160</v>
      </c>
      <c r="AO42" s="13">
        <v>685615.86171308858</v>
      </c>
      <c r="AP42" s="13">
        <v>863139.4364121859</v>
      </c>
      <c r="AQ42" s="13">
        <v>885699.23160785751</v>
      </c>
      <c r="AR42" s="13">
        <v>1012769.3980592245</v>
      </c>
      <c r="AS42" s="13">
        <v>963341.32076926506</v>
      </c>
      <c r="AT42" s="13">
        <v>1035327.9353155289</v>
      </c>
      <c r="AU42" s="13">
        <v>870244.79301677598</v>
      </c>
      <c r="AV42" s="15"/>
      <c r="AW42" s="15"/>
    </row>
    <row r="43" spans="1:50">
      <c r="A43" s="95" t="s">
        <v>128</v>
      </c>
      <c r="B43" s="95" t="s">
        <v>133</v>
      </c>
      <c r="C43" s="13">
        <v>2584293.4007299999</v>
      </c>
      <c r="D43" s="13">
        <v>2900135.1494700005</v>
      </c>
      <c r="E43" s="13">
        <v>3126147.7364299987</v>
      </c>
      <c r="F43" s="13">
        <v>3511125.0124900006</v>
      </c>
      <c r="G43" s="13">
        <v>3029360.81666</v>
      </c>
      <c r="H43" s="13">
        <v>3159558.2165400004</v>
      </c>
      <c r="I43" s="13">
        <v>3438822.7824599994</v>
      </c>
      <c r="J43" s="13">
        <v>3833821.6627799999</v>
      </c>
      <c r="K43" s="13">
        <v>3473500.4588799998</v>
      </c>
      <c r="L43" s="13">
        <v>3709123.6136500007</v>
      </c>
      <c r="M43" s="13">
        <v>3703389.9756899988</v>
      </c>
      <c r="N43" s="13">
        <v>3754055.8879300002</v>
      </c>
      <c r="O43" s="13">
        <v>3756901.8097799998</v>
      </c>
      <c r="P43" s="13">
        <v>4221949.3301499989</v>
      </c>
      <c r="Q43" s="13">
        <v>4302664.0128199998</v>
      </c>
      <c r="R43" s="13">
        <v>4512463.0767099988</v>
      </c>
      <c r="S43" s="13">
        <v>4599784.0835999995</v>
      </c>
      <c r="T43" s="13">
        <v>4840869.1718499996</v>
      </c>
      <c r="U43" s="13">
        <v>4832390.8778399993</v>
      </c>
      <c r="V43" s="13">
        <v>5493946.3510800023</v>
      </c>
      <c r="W43" s="13">
        <v>4927104.9210599903</v>
      </c>
      <c r="X43" s="13">
        <v>5300854.0608600099</v>
      </c>
      <c r="Y43" s="13">
        <v>5144500.5081099998</v>
      </c>
      <c r="Z43" s="13">
        <v>5670938.5808799993</v>
      </c>
      <c r="AA43" s="13">
        <v>5207709.4682700001</v>
      </c>
      <c r="AB43" s="13">
        <v>5047118.4380799998</v>
      </c>
      <c r="AC43" s="13">
        <v>5971040.2210200001</v>
      </c>
      <c r="AD43" s="13">
        <v>7001904.2427299991</v>
      </c>
      <c r="AE43" s="13">
        <v>6486879.7029299997</v>
      </c>
      <c r="AF43" s="13">
        <v>6896412.6758100018</v>
      </c>
      <c r="AG43" s="13">
        <v>6568054.4116200022</v>
      </c>
      <c r="AH43" s="13">
        <v>7244639.276659999</v>
      </c>
      <c r="AI43" s="13">
        <v>6661288.2193</v>
      </c>
      <c r="AJ43" s="13">
        <v>7005576.86314</v>
      </c>
      <c r="AK43" s="13">
        <v>6859742</v>
      </c>
      <c r="AL43" s="13">
        <v>6764081.3958700001</v>
      </c>
      <c r="AM43" s="13">
        <v>6527108.0265899999</v>
      </c>
      <c r="AN43" s="13">
        <v>6621499.5641799988</v>
      </c>
      <c r="AO43" s="13">
        <v>6158408.8781500012</v>
      </c>
      <c r="AP43" s="13">
        <v>6626029.0685099997</v>
      </c>
      <c r="AQ43" s="13">
        <v>6451302.8382299999</v>
      </c>
      <c r="AR43" s="13">
        <v>6183469.4573100014</v>
      </c>
      <c r="AS43" s="13">
        <v>6367624</v>
      </c>
      <c r="AT43" s="13">
        <v>7109553.2072900012</v>
      </c>
      <c r="AU43" s="13">
        <v>6540015.1426299997</v>
      </c>
      <c r="AV43" s="15"/>
      <c r="AW43" s="15"/>
      <c r="AX43" s="15"/>
    </row>
    <row r="44" spans="1:50"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  <c r="AU44" s="176"/>
      <c r="AV44" s="15"/>
      <c r="AW44" s="15"/>
      <c r="AX44" s="15"/>
    </row>
    <row r="45" spans="1:50"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176"/>
      <c r="AV45" s="15"/>
      <c r="AW45" s="15"/>
      <c r="AX45" s="15"/>
    </row>
    <row r="46" spans="1:50"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5"/>
      <c r="AW46" s="15"/>
      <c r="AX46" s="15"/>
    </row>
    <row r="47" spans="1:50" ht="12.5" thickBot="1">
      <c r="A47" s="98" t="s">
        <v>54</v>
      </c>
      <c r="B47" s="98" t="s">
        <v>101</v>
      </c>
      <c r="C47" s="43" t="s">
        <v>116</v>
      </c>
      <c r="D47" s="43" t="s">
        <v>119</v>
      </c>
      <c r="E47" s="43" t="s">
        <v>124</v>
      </c>
      <c r="F47" s="43" t="s">
        <v>135</v>
      </c>
      <c r="G47" s="43" t="s">
        <v>141</v>
      </c>
      <c r="H47" s="43" t="s">
        <v>157</v>
      </c>
      <c r="I47" s="43" t="s">
        <v>162</v>
      </c>
      <c r="J47" s="43" t="s">
        <v>165</v>
      </c>
      <c r="K47" s="43" t="s">
        <v>167</v>
      </c>
      <c r="L47" s="43" t="s">
        <v>172</v>
      </c>
      <c r="M47" s="43" t="s">
        <v>173</v>
      </c>
      <c r="N47" s="43" t="s">
        <v>178</v>
      </c>
      <c r="O47" s="43" t="s">
        <v>180</v>
      </c>
      <c r="P47" s="43" t="s">
        <v>183</v>
      </c>
      <c r="Q47" s="43" t="s">
        <v>186</v>
      </c>
      <c r="R47" s="43" t="s">
        <v>191</v>
      </c>
      <c r="S47" s="97" t="s">
        <v>221</v>
      </c>
      <c r="T47" s="97" t="s">
        <v>264</v>
      </c>
      <c r="U47" s="97" t="s">
        <v>301</v>
      </c>
      <c r="V47" s="97" t="s">
        <v>304</v>
      </c>
      <c r="W47" s="97" t="s">
        <v>308</v>
      </c>
      <c r="X47" s="97" t="s">
        <v>319</v>
      </c>
      <c r="Y47" s="97" t="s">
        <v>324</v>
      </c>
      <c r="Z47" s="97" t="s">
        <v>330</v>
      </c>
      <c r="AA47" s="97" t="s">
        <v>401</v>
      </c>
      <c r="AB47" s="97" t="s">
        <v>469</v>
      </c>
      <c r="AC47" s="97" t="s">
        <v>474</v>
      </c>
      <c r="AD47" s="97" t="s">
        <v>481</v>
      </c>
      <c r="AE47" s="97" t="s">
        <v>490</v>
      </c>
      <c r="AF47" s="97" t="s">
        <v>503</v>
      </c>
      <c r="AG47" s="97" t="s">
        <v>507</v>
      </c>
      <c r="AH47" s="97" t="s">
        <v>512</v>
      </c>
      <c r="AI47" s="97" t="s">
        <v>516</v>
      </c>
      <c r="AJ47" s="97" t="s">
        <v>519</v>
      </c>
      <c r="AK47" s="97" t="s">
        <v>524</v>
      </c>
      <c r="AL47" s="97" t="s">
        <v>542</v>
      </c>
      <c r="AM47" s="97" t="s">
        <v>548</v>
      </c>
      <c r="AN47" s="97" t="s">
        <v>650</v>
      </c>
      <c r="AO47" s="97" t="s">
        <v>653</v>
      </c>
      <c r="AP47" s="97" t="s">
        <v>663</v>
      </c>
      <c r="AQ47" s="97" t="s">
        <v>667</v>
      </c>
      <c r="AR47" s="116" t="s">
        <v>674</v>
      </c>
      <c r="AS47" s="116" t="s">
        <v>677</v>
      </c>
      <c r="AT47" s="116" t="s">
        <v>684</v>
      </c>
      <c r="AU47" s="116" t="s">
        <v>691</v>
      </c>
      <c r="AV47" s="15"/>
      <c r="AW47" s="15"/>
      <c r="AX47" s="15"/>
    </row>
    <row r="48" spans="1:50" ht="12.5" thickBot="1">
      <c r="A48" s="90" t="s">
        <v>45</v>
      </c>
      <c r="B48" s="92" t="s">
        <v>102</v>
      </c>
      <c r="C48" s="16">
        <f t="shared" ref="C48:H48" si="70">+C49+C50</f>
        <v>45320166</v>
      </c>
      <c r="D48" s="16">
        <f t="shared" si="70"/>
        <v>45970077.281099997</v>
      </c>
      <c r="E48" s="16">
        <f t="shared" si="70"/>
        <v>47434828.469020002</v>
      </c>
      <c r="F48" s="16">
        <f t="shared" si="70"/>
        <v>47591243.740669996</v>
      </c>
      <c r="G48" s="16">
        <f t="shared" si="70"/>
        <v>48973195.300719999</v>
      </c>
      <c r="H48" s="16">
        <f t="shared" si="70"/>
        <v>50233616.243989997</v>
      </c>
      <c r="I48" s="16">
        <f>+I49+I50</f>
        <v>51188116</v>
      </c>
      <c r="J48" s="16">
        <f>+J49+J50</f>
        <v>52810389.201919995</v>
      </c>
      <c r="K48" s="16">
        <v>52009985</v>
      </c>
      <c r="L48" s="16">
        <v>53360177</v>
      </c>
      <c r="M48" s="16">
        <v>54297732</v>
      </c>
      <c r="N48" s="16">
        <f>+N49+N50</f>
        <v>55875609.299999997</v>
      </c>
      <c r="O48" s="16">
        <f>+O49+O50</f>
        <v>56375552.604509994</v>
      </c>
      <c r="P48" s="16">
        <f>+P49+P50</f>
        <v>56987958.469630003</v>
      </c>
      <c r="Q48" s="16">
        <f>+Q49+Q50</f>
        <v>56678525.877420001</v>
      </c>
      <c r="R48" s="16">
        <f>+R49+R50</f>
        <v>57273255</v>
      </c>
      <c r="S48" s="16">
        <v>59473880</v>
      </c>
      <c r="T48" s="16">
        <f>+T49+T50</f>
        <v>59831479.286490001</v>
      </c>
      <c r="U48" s="16">
        <f>+U49+U50</f>
        <v>60222668</v>
      </c>
      <c r="V48" s="16">
        <f>+V49+V50</f>
        <v>66243768.815210007</v>
      </c>
      <c r="W48" s="16">
        <f>+W49+W50</f>
        <v>66672619.749835499</v>
      </c>
      <c r="X48" s="16">
        <v>76827811</v>
      </c>
      <c r="Y48" s="16">
        <f>+Y49+Y50</f>
        <v>80341143</v>
      </c>
      <c r="Z48" s="16">
        <f>+Z49+Z50</f>
        <v>81454765</v>
      </c>
      <c r="AA48" s="16">
        <f t="shared" ref="AA48:AK48" si="71">+AA49+AA50</f>
        <v>83583600</v>
      </c>
      <c r="AB48" s="16">
        <f t="shared" si="71"/>
        <v>86254624.791419998</v>
      </c>
      <c r="AC48" s="16">
        <f t="shared" si="71"/>
        <v>85852463</v>
      </c>
      <c r="AD48" s="16">
        <f t="shared" si="71"/>
        <v>81510539.548079997</v>
      </c>
      <c r="AE48" s="16">
        <f t="shared" si="71"/>
        <v>88254606</v>
      </c>
      <c r="AF48" s="16">
        <f t="shared" si="71"/>
        <v>89998487.015480042</v>
      </c>
      <c r="AG48" s="16">
        <f t="shared" si="71"/>
        <v>90250053</v>
      </c>
      <c r="AH48" s="16">
        <f t="shared" si="71"/>
        <v>91447515</v>
      </c>
      <c r="AI48" s="16">
        <f t="shared" si="71"/>
        <v>97304820</v>
      </c>
      <c r="AJ48" s="16">
        <f t="shared" si="71"/>
        <v>96122029</v>
      </c>
      <c r="AK48" s="16">
        <f t="shared" si="71"/>
        <v>97770565</v>
      </c>
      <c r="AL48" s="16">
        <f t="shared" ref="AL48:AM48" si="72">+AL49+AL50</f>
        <v>98038516</v>
      </c>
      <c r="AM48" s="16">
        <f t="shared" si="72"/>
        <v>100875841</v>
      </c>
      <c r="AN48" s="16">
        <f t="shared" ref="AN48" si="73">+AN49+AN50</f>
        <v>100596982.66975999</v>
      </c>
      <c r="AO48" s="16">
        <f t="shared" ref="AO48:AU48" si="74">+AO49+AO50</f>
        <v>106176227</v>
      </c>
      <c r="AP48" s="16">
        <f t="shared" si="74"/>
        <v>107246427.56757</v>
      </c>
      <c r="AQ48" s="16">
        <f t="shared" si="74"/>
        <v>113183861.44433007</v>
      </c>
      <c r="AR48" s="16">
        <f t="shared" si="74"/>
        <v>116540149</v>
      </c>
      <c r="AS48" s="16">
        <f t="shared" si="74"/>
        <v>113981202</v>
      </c>
      <c r="AT48" s="16">
        <f t="shared" si="74"/>
        <v>117257213</v>
      </c>
      <c r="AU48" s="16">
        <f t="shared" si="74"/>
        <v>119435815.74700999</v>
      </c>
      <c r="AV48" s="15"/>
      <c r="AW48" s="15"/>
      <c r="AX48" s="15"/>
    </row>
    <row r="49" spans="1:50" ht="12.5" thickBot="1">
      <c r="A49" s="91" t="s">
        <v>46</v>
      </c>
      <c r="B49" s="93" t="s">
        <v>103</v>
      </c>
      <c r="C49" s="13">
        <v>27762058</v>
      </c>
      <c r="D49" s="13">
        <v>28550569.7665</v>
      </c>
      <c r="E49" s="13">
        <v>29401309.111000001</v>
      </c>
      <c r="F49" s="13">
        <v>29779949.572500002</v>
      </c>
      <c r="G49" s="13">
        <v>30599088.3807</v>
      </c>
      <c r="H49" s="13">
        <v>31785270.081670001</v>
      </c>
      <c r="I49" s="13">
        <v>32945983</v>
      </c>
      <c r="J49" s="13">
        <v>35616412.464299999</v>
      </c>
      <c r="K49" s="13">
        <v>36229446</v>
      </c>
      <c r="L49" s="13">
        <v>37545974</v>
      </c>
      <c r="M49" s="13">
        <v>38227192</v>
      </c>
      <c r="N49" s="13">
        <v>39681704.299999997</v>
      </c>
      <c r="O49" s="13">
        <v>41008935.664700001</v>
      </c>
      <c r="P49" s="13">
        <v>40414346.560000002</v>
      </c>
      <c r="Q49" s="13">
        <v>40081457.182799995</v>
      </c>
      <c r="R49" s="13">
        <v>40343597</v>
      </c>
      <c r="S49" s="13">
        <v>43146054</v>
      </c>
      <c r="T49" s="13">
        <v>43303180.958340004</v>
      </c>
      <c r="U49" s="13">
        <v>44186453</v>
      </c>
      <c r="V49" s="13">
        <v>47730280.466649994</v>
      </c>
      <c r="W49" s="13">
        <v>47827065.052319996</v>
      </c>
      <c r="X49" s="13">
        <v>57638441</v>
      </c>
      <c r="Y49" s="13">
        <v>60598603</v>
      </c>
      <c r="Z49" s="13">
        <v>61091901</v>
      </c>
      <c r="AA49" s="13">
        <v>63328296</v>
      </c>
      <c r="AB49" s="13">
        <v>63436307.864519998</v>
      </c>
      <c r="AC49" s="13">
        <v>61933166</v>
      </c>
      <c r="AD49" s="13">
        <v>61874920</v>
      </c>
      <c r="AE49" s="13">
        <v>64263556</v>
      </c>
      <c r="AF49" s="13">
        <v>64966052.050130047</v>
      </c>
      <c r="AG49" s="13">
        <v>64965000</v>
      </c>
      <c r="AH49" s="13">
        <v>66022086</v>
      </c>
      <c r="AI49" s="13">
        <v>64271506</v>
      </c>
      <c r="AJ49" s="13">
        <v>65165193</v>
      </c>
      <c r="AK49" s="13">
        <v>66867265</v>
      </c>
      <c r="AL49" s="13">
        <v>68787007</v>
      </c>
      <c r="AM49" s="13">
        <v>70101423</v>
      </c>
      <c r="AN49" s="13">
        <v>71714325.584469989</v>
      </c>
      <c r="AO49" s="13">
        <v>74247177</v>
      </c>
      <c r="AP49" s="13">
        <v>76599830.576440006</v>
      </c>
      <c r="AQ49" s="13">
        <v>81059888</v>
      </c>
      <c r="AR49" s="13">
        <v>83428759</v>
      </c>
      <c r="AS49" s="13">
        <v>84530144</v>
      </c>
      <c r="AT49" s="13">
        <v>87566756</v>
      </c>
      <c r="AU49" s="13">
        <v>90347874.952729955</v>
      </c>
      <c r="AV49" s="15"/>
      <c r="AW49" s="15"/>
      <c r="AX49" s="15"/>
    </row>
    <row r="50" spans="1:50" ht="12.5" thickBot="1">
      <c r="A50" s="91" t="s">
        <v>146</v>
      </c>
      <c r="B50" s="94" t="s">
        <v>104</v>
      </c>
      <c r="C50" s="13">
        <v>17558108</v>
      </c>
      <c r="D50" s="13">
        <v>17419507.514599998</v>
      </c>
      <c r="E50" s="13">
        <v>18033519.35802</v>
      </c>
      <c r="F50" s="13">
        <v>17811294.168169994</v>
      </c>
      <c r="G50" s="13">
        <v>18374106.920019999</v>
      </c>
      <c r="H50" s="13">
        <v>18448346.162319995</v>
      </c>
      <c r="I50" s="13">
        <v>18242133</v>
      </c>
      <c r="J50" s="13">
        <v>17193976.737619996</v>
      </c>
      <c r="K50" s="13">
        <v>15780540</v>
      </c>
      <c r="L50" s="13">
        <v>15814203</v>
      </c>
      <c r="M50" s="13">
        <v>16070540</v>
      </c>
      <c r="N50" s="13">
        <v>16193905</v>
      </c>
      <c r="O50" s="13">
        <v>15366616.939809993</v>
      </c>
      <c r="P50" s="13">
        <v>16573611.909630001</v>
      </c>
      <c r="Q50" s="13">
        <v>16597068.694620006</v>
      </c>
      <c r="R50" s="13">
        <v>16929658</v>
      </c>
      <c r="S50" s="13">
        <v>16327826</v>
      </c>
      <c r="T50" s="13">
        <v>16528298.328149997</v>
      </c>
      <c r="U50" s="13">
        <v>16036215</v>
      </c>
      <c r="V50" s="13">
        <v>18513488.348560013</v>
      </c>
      <c r="W50" s="13">
        <v>18845554.697515503</v>
      </c>
      <c r="X50" s="13">
        <v>19189369</v>
      </c>
      <c r="Y50" s="13">
        <v>19742540</v>
      </c>
      <c r="Z50" s="13">
        <v>20362864</v>
      </c>
      <c r="AA50" s="13">
        <v>20255304</v>
      </c>
      <c r="AB50" s="13">
        <v>22818316.926899999</v>
      </c>
      <c r="AC50" s="13">
        <v>23919297</v>
      </c>
      <c r="AD50" s="13">
        <v>19635619.54807999</v>
      </c>
      <c r="AE50" s="13">
        <v>23991050</v>
      </c>
      <c r="AF50" s="13">
        <v>25032434.965349995</v>
      </c>
      <c r="AG50" s="13">
        <v>25285053</v>
      </c>
      <c r="AH50" s="13">
        <v>25425429</v>
      </c>
      <c r="AI50" s="13">
        <v>33033314</v>
      </c>
      <c r="AJ50" s="13">
        <v>30956836</v>
      </c>
      <c r="AK50" s="13">
        <v>30903300</v>
      </c>
      <c r="AL50" s="13">
        <v>29251509</v>
      </c>
      <c r="AM50" s="13">
        <v>30774418</v>
      </c>
      <c r="AN50" s="13">
        <v>28882657.08529</v>
      </c>
      <c r="AO50" s="13">
        <v>31929050</v>
      </c>
      <c r="AP50" s="13">
        <v>30646596.991129994</v>
      </c>
      <c r="AQ50" s="13">
        <v>32123973.444330066</v>
      </c>
      <c r="AR50" s="13">
        <v>33111390</v>
      </c>
      <c r="AS50" s="13">
        <v>29451058</v>
      </c>
      <c r="AT50" s="13">
        <v>29690457</v>
      </c>
      <c r="AU50" s="13">
        <v>29087940.794280037</v>
      </c>
      <c r="AV50" s="15"/>
      <c r="AW50" s="15"/>
      <c r="AX50" s="15"/>
    </row>
    <row r="51" spans="1:50" ht="12.5" thickBot="1"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5"/>
      <c r="AH51" s="15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15"/>
      <c r="AW51" s="15"/>
      <c r="AX51" s="15"/>
    </row>
    <row r="52" spans="1:50" ht="12.5" thickBot="1">
      <c r="A52" s="98" t="s">
        <v>149</v>
      </c>
      <c r="B52" s="98" t="s">
        <v>150</v>
      </c>
      <c r="C52" s="19" t="s">
        <v>116</v>
      </c>
      <c r="D52" s="19" t="s">
        <v>119</v>
      </c>
      <c r="E52" s="19" t="s">
        <v>124</v>
      </c>
      <c r="F52" s="19" t="s">
        <v>135</v>
      </c>
      <c r="G52" s="19" t="s">
        <v>141</v>
      </c>
      <c r="H52" s="19" t="s">
        <v>157</v>
      </c>
      <c r="I52" s="19" t="s">
        <v>162</v>
      </c>
      <c r="J52" s="19" t="s">
        <v>165</v>
      </c>
      <c r="K52" s="19" t="s">
        <v>167</v>
      </c>
      <c r="L52" s="19" t="s">
        <v>172</v>
      </c>
      <c r="M52" s="19" t="s">
        <v>173</v>
      </c>
      <c r="N52" s="19" t="s">
        <v>178</v>
      </c>
      <c r="O52" s="19" t="s">
        <v>180</v>
      </c>
      <c r="P52" s="19" t="s">
        <v>183</v>
      </c>
      <c r="Q52" s="19" t="s">
        <v>186</v>
      </c>
      <c r="R52" s="19" t="s">
        <v>191</v>
      </c>
      <c r="S52" s="97" t="s">
        <v>221</v>
      </c>
      <c r="T52" s="97" t="s">
        <v>264</v>
      </c>
      <c r="U52" s="97" t="s">
        <v>301</v>
      </c>
      <c r="V52" s="97" t="s">
        <v>304</v>
      </c>
      <c r="W52" s="97" t="s">
        <v>308</v>
      </c>
      <c r="X52" s="97" t="s">
        <v>319</v>
      </c>
      <c r="Y52" s="97" t="s">
        <v>324</v>
      </c>
      <c r="Z52" s="97" t="s">
        <v>330</v>
      </c>
      <c r="AA52" s="97" t="s">
        <v>401</v>
      </c>
      <c r="AB52" s="97" t="s">
        <v>469</v>
      </c>
      <c r="AC52" s="97" t="s">
        <v>474</v>
      </c>
      <c r="AD52" s="97" t="s">
        <v>481</v>
      </c>
      <c r="AE52" s="97" t="s">
        <v>490</v>
      </c>
      <c r="AF52" s="97" t="s">
        <v>503</v>
      </c>
      <c r="AG52" s="97" t="s">
        <v>507</v>
      </c>
      <c r="AH52" s="97" t="s">
        <v>512</v>
      </c>
      <c r="AI52" s="97" t="s">
        <v>516</v>
      </c>
      <c r="AJ52" s="97" t="s">
        <v>519</v>
      </c>
      <c r="AK52" s="97" t="s">
        <v>524</v>
      </c>
      <c r="AL52" s="97" t="s">
        <v>542</v>
      </c>
      <c r="AM52" s="97" t="s">
        <v>548</v>
      </c>
      <c r="AN52" s="97" t="s">
        <v>650</v>
      </c>
      <c r="AO52" s="97" t="s">
        <v>653</v>
      </c>
      <c r="AP52" s="97" t="s">
        <v>663</v>
      </c>
      <c r="AQ52" s="97" t="s">
        <v>667</v>
      </c>
      <c r="AR52" s="97" t="s">
        <v>674</v>
      </c>
      <c r="AS52" s="97" t="s">
        <v>677</v>
      </c>
      <c r="AT52" s="97" t="s">
        <v>684</v>
      </c>
      <c r="AU52" s="97" t="s">
        <v>691</v>
      </c>
      <c r="AV52" s="15"/>
      <c r="AW52" s="15"/>
      <c r="AX52" s="15"/>
    </row>
    <row r="53" spans="1:50" ht="12.5" thickBot="1">
      <c r="A53" s="92" t="s">
        <v>151</v>
      </c>
      <c r="B53" s="92" t="s">
        <v>152</v>
      </c>
      <c r="C53" s="16">
        <v>6559324.2781099994</v>
      </c>
      <c r="D53" s="16">
        <v>6671989</v>
      </c>
      <c r="E53" s="16">
        <v>6733762.0000000009</v>
      </c>
      <c r="F53" s="16">
        <v>6806442.3709199997</v>
      </c>
      <c r="G53" s="16">
        <v>7526840.8761500008</v>
      </c>
      <c r="H53" s="16">
        <v>7765433</v>
      </c>
      <c r="I53" s="16">
        <v>7258080.6532499995</v>
      </c>
      <c r="J53" s="16">
        <v>7243376.8999999994</v>
      </c>
      <c r="K53" s="16">
        <v>6909103.4010600001</v>
      </c>
      <c r="L53" s="16">
        <v>6970981.2922</v>
      </c>
      <c r="M53" s="16">
        <v>7244883</v>
      </c>
      <c r="N53" s="16">
        <v>7379181.0970999999</v>
      </c>
      <c r="O53" s="16">
        <v>7845886.2686300008</v>
      </c>
      <c r="P53" s="16">
        <v>8447565.2095800005</v>
      </c>
      <c r="Q53" s="16">
        <v>8953924.6276699994</v>
      </c>
      <c r="R53" s="16">
        <v>9339052.2520773895</v>
      </c>
      <c r="S53" s="16">
        <v>9606273.7520000003</v>
      </c>
      <c r="T53" s="16">
        <v>9404569.7300000004</v>
      </c>
      <c r="U53" s="16">
        <v>9095506.6760000009</v>
      </c>
      <c r="V53" s="16">
        <v>8479112.3795410004</v>
      </c>
      <c r="W53" s="16">
        <f>+W54+W55+W56</f>
        <v>8805230.6596670002</v>
      </c>
      <c r="X53" s="16">
        <v>8762274.1099999994</v>
      </c>
      <c r="Y53" s="16">
        <f>+Y54+Y55+Y56</f>
        <v>8774467.862275308</v>
      </c>
      <c r="Z53" s="16">
        <f>+Z54+Z55+Z56</f>
        <v>8840550.9887009561</v>
      </c>
      <c r="AA53" s="16">
        <f>+AA54+AA55+AA56</f>
        <v>7116242.7698730202</v>
      </c>
      <c r="AB53" s="16">
        <f>+AB54+AB55+AB56</f>
        <v>7649257.9719399996</v>
      </c>
      <c r="AC53" s="16">
        <f>+AC54+AC55+AC56</f>
        <v>8280436.9057700001</v>
      </c>
      <c r="AD53" s="16">
        <f t="shared" ref="AD53:AE53" si="75">+AD54+AD55+AD56</f>
        <v>8753148.4785000011</v>
      </c>
      <c r="AE53" s="16">
        <f t="shared" si="75"/>
        <v>9163718.1640045177</v>
      </c>
      <c r="AF53" s="16">
        <f>+AF54+AF55+AF56</f>
        <v>9485703.9973338991</v>
      </c>
      <c r="AG53" s="16">
        <f>+AG54+AG55+AG56</f>
        <v>9569506.4399644397</v>
      </c>
      <c r="AH53" s="16">
        <f>+AH54+AH55+AH56</f>
        <v>8977783.6740000006</v>
      </c>
      <c r="AI53" s="16">
        <v>7927835.9608613998</v>
      </c>
      <c r="AJ53" s="16">
        <f t="shared" ref="AJ53:AK53" si="76">+AJ54+AJ55+AJ56</f>
        <v>6786965.20145032</v>
      </c>
      <c r="AK53" s="16">
        <f t="shared" si="76"/>
        <v>6398300</v>
      </c>
      <c r="AL53" s="16">
        <f t="shared" ref="AL53:AN53" si="77">+AL54+AL55+AL56</f>
        <v>6429693.4630399998</v>
      </c>
      <c r="AM53" s="16">
        <f t="shared" si="77"/>
        <v>6824918.2174859699</v>
      </c>
      <c r="AN53" s="16">
        <f t="shared" si="77"/>
        <v>7233708.6760000009</v>
      </c>
      <c r="AO53" s="16">
        <f t="shared" ref="AO53:AU53" si="78">+AO54+AO55+AO56</f>
        <v>7416934.2426129999</v>
      </c>
      <c r="AP53" s="16">
        <f t="shared" si="78"/>
        <v>8069379.9509820808</v>
      </c>
      <c r="AQ53" s="16">
        <f t="shared" si="78"/>
        <v>8869377.0800660588</v>
      </c>
      <c r="AR53" s="16">
        <f t="shared" si="78"/>
        <v>9581085.620000001</v>
      </c>
      <c r="AS53" s="16">
        <f t="shared" si="78"/>
        <v>10458932.727802612</v>
      </c>
      <c r="AT53" s="16">
        <f t="shared" si="78"/>
        <v>11072584.177499998</v>
      </c>
      <c r="AU53" s="16">
        <f t="shared" si="78"/>
        <v>11913539.02451</v>
      </c>
      <c r="AV53" s="15"/>
      <c r="AW53" s="15"/>
      <c r="AX53" s="15"/>
    </row>
    <row r="54" spans="1:50" ht="12.5" thickBot="1">
      <c r="A54" s="93" t="s">
        <v>187</v>
      </c>
      <c r="B54" s="93" t="s">
        <v>188</v>
      </c>
      <c r="C54" s="13">
        <v>363400</v>
      </c>
      <c r="D54" s="13">
        <v>347866</v>
      </c>
      <c r="E54" s="13">
        <v>331293</v>
      </c>
      <c r="F54" s="13">
        <v>332443</v>
      </c>
      <c r="G54" s="13">
        <v>327497.13204</v>
      </c>
      <c r="H54" s="13">
        <v>307659</v>
      </c>
      <c r="I54" s="13">
        <v>314978</v>
      </c>
      <c r="J54" s="13">
        <v>301527</v>
      </c>
      <c r="K54" s="13">
        <v>358893</v>
      </c>
      <c r="L54" s="13">
        <v>429025</v>
      </c>
      <c r="M54" s="13">
        <v>404173</v>
      </c>
      <c r="N54" s="13">
        <v>403102</v>
      </c>
      <c r="O54" s="13">
        <v>411444</v>
      </c>
      <c r="P54" s="13">
        <v>428972</v>
      </c>
      <c r="Q54" s="13">
        <v>452898</v>
      </c>
      <c r="R54" s="13">
        <v>457251</v>
      </c>
      <c r="S54" s="13">
        <v>460995</v>
      </c>
      <c r="T54" s="13">
        <v>407343.64799999999</v>
      </c>
      <c r="U54" s="13">
        <v>427581.20699999999</v>
      </c>
      <c r="V54" s="13">
        <v>507589.03103000001</v>
      </c>
      <c r="W54" s="13">
        <v>593758.42929999996</v>
      </c>
      <c r="X54" s="13">
        <v>667976.39300000004</v>
      </c>
      <c r="Y54" s="13">
        <v>639440.32627530803</v>
      </c>
      <c r="Z54" s="13">
        <v>630902.33545456501</v>
      </c>
      <c r="AA54" s="13">
        <v>545092.33219999995</v>
      </c>
      <c r="AB54" s="13">
        <v>516286.74609999999</v>
      </c>
      <c r="AC54" s="13">
        <v>407478.61</v>
      </c>
      <c r="AD54" s="13">
        <v>308227.3</v>
      </c>
      <c r="AE54" s="13">
        <v>172665.83063479699</v>
      </c>
      <c r="AF54" s="13">
        <v>60424.387070218603</v>
      </c>
      <c r="AG54" s="13">
        <v>39650</v>
      </c>
      <c r="AH54" s="13">
        <v>39450</v>
      </c>
      <c r="AI54" s="13">
        <v>39450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5"/>
      <c r="AW54" s="15"/>
      <c r="AX54" s="15"/>
    </row>
    <row r="55" spans="1:50" ht="12.5" thickBot="1">
      <c r="A55" s="94" t="s">
        <v>153</v>
      </c>
      <c r="B55" s="94" t="s">
        <v>154</v>
      </c>
      <c r="C55" s="13">
        <v>3471418.2779999999</v>
      </c>
      <c r="D55" s="13">
        <v>3526055</v>
      </c>
      <c r="E55" s="13">
        <v>3575310</v>
      </c>
      <c r="F55" s="13">
        <v>3567543.3709200001</v>
      </c>
      <c r="G55" s="13">
        <v>4107116.7441099999</v>
      </c>
      <c r="H55" s="13">
        <v>4202102.0161800003</v>
      </c>
      <c r="I55" s="13">
        <v>3974562.65325</v>
      </c>
      <c r="J55" s="13">
        <v>3969009</v>
      </c>
      <c r="K55" s="13">
        <v>3776891</v>
      </c>
      <c r="L55" s="13">
        <v>3754936.3</v>
      </c>
      <c r="M55" s="13">
        <v>3904080.51</v>
      </c>
      <c r="N55" s="13">
        <v>3982111.1</v>
      </c>
      <c r="O55" s="13">
        <v>4272183.4467700003</v>
      </c>
      <c r="P55" s="13">
        <v>4599591.2095799996</v>
      </c>
      <c r="Q55" s="13">
        <v>4871548.6276700003</v>
      </c>
      <c r="R55" s="13">
        <v>4958807.12096</v>
      </c>
      <c r="S55" s="13">
        <v>4958708.7685599998</v>
      </c>
      <c r="T55" s="13">
        <v>4679382.88</v>
      </c>
      <c r="U55" s="13">
        <v>4403674.90735</v>
      </c>
      <c r="V55" s="13">
        <v>4221978.6551099997</v>
      </c>
      <c r="W55" s="13">
        <v>4466266.9029999999</v>
      </c>
      <c r="X55" s="13">
        <v>4568681.8</v>
      </c>
      <c r="Y55" s="13">
        <v>4534237.6359999999</v>
      </c>
      <c r="Z55" s="13">
        <v>4529254.96361</v>
      </c>
      <c r="AA55" s="13">
        <v>3614521.15644</v>
      </c>
      <c r="AB55" s="13">
        <v>3770551.5216399999</v>
      </c>
      <c r="AC55" s="13">
        <v>4266958.9467700003</v>
      </c>
      <c r="AD55" s="13">
        <v>4567956.7454000004</v>
      </c>
      <c r="AE55" s="13">
        <v>4942791.5616600001</v>
      </c>
      <c r="AF55" s="13">
        <v>5250767.1666299999</v>
      </c>
      <c r="AG55" s="13">
        <v>5490826.76982</v>
      </c>
      <c r="AH55" s="13">
        <v>5239932.9740000004</v>
      </c>
      <c r="AI55" s="13">
        <v>4449715.88741</v>
      </c>
      <c r="AJ55" s="13">
        <v>3853309.44141</v>
      </c>
      <c r="AK55" s="13">
        <v>3741400</v>
      </c>
      <c r="AL55" s="13">
        <v>3774126.39414</v>
      </c>
      <c r="AM55" s="13">
        <v>4142329.9</v>
      </c>
      <c r="AN55" s="13">
        <v>4581701.3600000003</v>
      </c>
      <c r="AO55" s="13">
        <v>4781765.8506129999</v>
      </c>
      <c r="AP55" s="13">
        <v>5257819.0158400005</v>
      </c>
      <c r="AQ55" s="13">
        <v>5879393.7721199999</v>
      </c>
      <c r="AR55" s="13">
        <v>6385796</v>
      </c>
      <c r="AS55" s="13">
        <v>7190408.6961599998</v>
      </c>
      <c r="AT55" s="13">
        <v>7607591.2187399995</v>
      </c>
      <c r="AU55" s="13">
        <v>8182318.4811100001</v>
      </c>
      <c r="AX55" s="15"/>
    </row>
    <row r="56" spans="1:50" ht="24.5" thickBot="1">
      <c r="A56" s="94" t="s">
        <v>155</v>
      </c>
      <c r="B56" s="94" t="s">
        <v>156</v>
      </c>
      <c r="C56" s="13">
        <v>2724506.0001099994</v>
      </c>
      <c r="D56" s="13">
        <v>2798068</v>
      </c>
      <c r="E56" s="13">
        <v>2827158.9999999995</v>
      </c>
      <c r="F56" s="13">
        <v>2906456</v>
      </c>
      <c r="G56" s="13">
        <v>3092227.0000000005</v>
      </c>
      <c r="H56" s="13">
        <v>3255671.9838199997</v>
      </c>
      <c r="I56" s="13">
        <v>2968540.0000000009</v>
      </c>
      <c r="J56" s="13">
        <v>2972841.0399700003</v>
      </c>
      <c r="K56" s="13">
        <v>2773319.0000000009</v>
      </c>
      <c r="L56" s="13">
        <v>2787020</v>
      </c>
      <c r="M56" s="13">
        <v>2936629.49443</v>
      </c>
      <c r="N56" s="13">
        <v>2993968</v>
      </c>
      <c r="O56" s="13">
        <v>3162258.8218600005</v>
      </c>
      <c r="P56" s="13">
        <v>3419002.0000000009</v>
      </c>
      <c r="Q56" s="13">
        <v>3629478</v>
      </c>
      <c r="R56" s="13">
        <v>3922994.1310999999</v>
      </c>
      <c r="S56" s="13">
        <v>4186569.98</v>
      </c>
      <c r="T56" s="13">
        <v>4317843.2</v>
      </c>
      <c r="U56" s="13">
        <v>4264250.5616530003</v>
      </c>
      <c r="V56" s="13">
        <v>3749544.6934000002</v>
      </c>
      <c r="W56" s="13">
        <f>1604360.278077+2140845.04929</f>
        <v>3745205.3273670003</v>
      </c>
      <c r="X56" s="13">
        <v>3525615.9213800002</v>
      </c>
      <c r="Y56" s="13">
        <v>3600789.9</v>
      </c>
      <c r="Z56" s="13">
        <v>3680393.6896363902</v>
      </c>
      <c r="AA56" s="13">
        <v>2956629.2812330201</v>
      </c>
      <c r="AB56" s="13">
        <v>3362419.7042</v>
      </c>
      <c r="AC56" s="13">
        <v>3605999.3489999999</v>
      </c>
      <c r="AD56" s="13">
        <v>3876964.4331</v>
      </c>
      <c r="AE56" s="13">
        <v>4048260.7717097201</v>
      </c>
      <c r="AF56" s="13">
        <v>4174512.4436336802</v>
      </c>
      <c r="AG56" s="13">
        <v>4039029.6701444401</v>
      </c>
      <c r="AH56" s="13">
        <v>3698400.7</v>
      </c>
      <c r="AI56" s="13">
        <v>3438670.0734513998</v>
      </c>
      <c r="AJ56" s="13">
        <v>2933655.76004032</v>
      </c>
      <c r="AK56" s="13">
        <v>2656900</v>
      </c>
      <c r="AL56" s="13">
        <v>2655567.0688999998</v>
      </c>
      <c r="AM56" s="13">
        <v>2682588.31748597</v>
      </c>
      <c r="AN56" s="13">
        <v>2652007.3160000001</v>
      </c>
      <c r="AO56" s="13">
        <v>2635168.392</v>
      </c>
      <c r="AP56" s="13">
        <v>2811560.9351420798</v>
      </c>
      <c r="AQ56" s="13">
        <v>2989983.3079460589</v>
      </c>
      <c r="AR56" s="13">
        <v>3195289.62</v>
      </c>
      <c r="AS56" s="13">
        <v>3268524.0316426111</v>
      </c>
      <c r="AT56" s="13">
        <v>3464992.9587599998</v>
      </c>
      <c r="AU56" s="13">
        <v>3731220.5433999998</v>
      </c>
      <c r="AX56" s="15"/>
    </row>
    <row r="57" spans="1:50"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X57" s="15"/>
    </row>
    <row r="58" spans="1:50">
      <c r="A58" s="17"/>
      <c r="B58" s="17"/>
      <c r="S58" s="15"/>
      <c r="T58" s="15"/>
      <c r="U58" s="15"/>
      <c r="V58" s="15"/>
      <c r="W58" s="15"/>
      <c r="X58" s="15"/>
      <c r="Y58" s="15"/>
      <c r="Z58" s="168"/>
      <c r="AA58" s="168"/>
      <c r="AB58" s="168"/>
      <c r="AC58" s="168"/>
      <c r="AD58" s="168"/>
      <c r="AE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X58" s="15"/>
    </row>
    <row r="59" spans="1:50">
      <c r="C59" s="20"/>
      <c r="D59" s="20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50">
      <c r="C60" s="22"/>
      <c r="D60" s="22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50">
      <c r="C61" s="20"/>
      <c r="D61" s="21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50">
      <c r="C62" s="20"/>
      <c r="D62" s="20"/>
      <c r="S62" s="15"/>
      <c r="T62" s="15"/>
      <c r="U62" s="15"/>
      <c r="V62" s="15"/>
      <c r="W62" s="15"/>
      <c r="X62" s="15"/>
      <c r="Y62" s="15"/>
      <c r="Z62" s="15"/>
    </row>
    <row r="63" spans="1:50">
      <c r="C63" s="20"/>
      <c r="D63" s="20"/>
      <c r="S63" s="15"/>
      <c r="T63" s="15"/>
      <c r="U63" s="15"/>
      <c r="V63" s="15"/>
      <c r="W63" s="15"/>
      <c r="X63" s="15"/>
      <c r="Y63" s="15"/>
      <c r="Z63" s="15"/>
    </row>
    <row r="64" spans="1:50">
      <c r="C64" s="20"/>
      <c r="D64" s="20"/>
      <c r="S64" s="15"/>
      <c r="T64" s="15"/>
      <c r="U64" s="15"/>
      <c r="V64" s="15"/>
      <c r="W64" s="15"/>
      <c r="X64" s="15"/>
      <c r="Y64" s="15"/>
      <c r="Z64" s="15"/>
    </row>
    <row r="65" spans="3:26">
      <c r="C65" s="20"/>
      <c r="D65" s="20"/>
    </row>
    <row r="66" spans="3:26">
      <c r="C66" s="20"/>
      <c r="D66" s="20"/>
      <c r="S66" s="14"/>
      <c r="T66" s="14"/>
      <c r="U66" s="14"/>
      <c r="V66" s="14"/>
      <c r="W66" s="14"/>
      <c r="X66" s="14"/>
      <c r="Y66" s="14"/>
      <c r="Z66" s="14"/>
    </row>
    <row r="67" spans="3:26">
      <c r="C67" s="20"/>
      <c r="D67" s="20"/>
      <c r="S67" s="14"/>
      <c r="T67" s="14"/>
      <c r="U67" s="14"/>
      <c r="V67" s="14"/>
      <c r="W67" s="14"/>
      <c r="X67" s="14"/>
      <c r="Y67" s="14"/>
      <c r="Z67" s="14"/>
    </row>
    <row r="68" spans="3:26">
      <c r="C68" s="20"/>
      <c r="D68" s="20"/>
      <c r="S68" s="14"/>
      <c r="T68" s="14"/>
      <c r="U68" s="14"/>
      <c r="V68" s="14"/>
      <c r="W68" s="14"/>
      <c r="X68" s="14"/>
      <c r="Y68" s="14"/>
      <c r="Z68" s="14"/>
    </row>
    <row r="69" spans="3:26">
      <c r="C69" s="20"/>
      <c r="D69" s="20"/>
      <c r="S69" s="14"/>
      <c r="T69" s="14"/>
      <c r="U69" s="14"/>
      <c r="V69" s="14"/>
      <c r="W69" s="14"/>
      <c r="X69" s="14"/>
      <c r="Y69" s="14"/>
      <c r="Z69" s="14"/>
    </row>
    <row r="70" spans="3:26">
      <c r="C70" s="20"/>
      <c r="D70" s="20"/>
      <c r="R70" s="20"/>
      <c r="S70" s="14"/>
      <c r="T70" s="14"/>
      <c r="U70" s="14"/>
      <c r="V70" s="14"/>
      <c r="W70" s="14"/>
      <c r="X70" s="14"/>
      <c r="Y70" s="14"/>
      <c r="Z70" s="14"/>
    </row>
    <row r="71" spans="3:26">
      <c r="C71" s="22"/>
      <c r="D71" s="22"/>
      <c r="R71" s="20"/>
      <c r="S71" s="14"/>
      <c r="T71" s="14"/>
      <c r="U71" s="14"/>
      <c r="V71" s="14"/>
      <c r="W71" s="14"/>
      <c r="X71" s="14"/>
      <c r="Y71" s="14"/>
      <c r="Z71" s="14"/>
    </row>
    <row r="72" spans="3:26">
      <c r="C72" s="20"/>
      <c r="D72" s="21"/>
      <c r="R72" s="20"/>
      <c r="S72" s="14"/>
      <c r="T72" s="14"/>
      <c r="U72" s="14"/>
      <c r="V72" s="14"/>
      <c r="W72" s="14"/>
      <c r="X72" s="14"/>
      <c r="Y72" s="14"/>
      <c r="Z72" s="14"/>
    </row>
    <row r="73" spans="3:26">
      <c r="C73" s="20"/>
      <c r="D73" s="20"/>
      <c r="R73" s="20"/>
      <c r="S73" s="15"/>
      <c r="T73" s="15"/>
      <c r="U73" s="15"/>
      <c r="V73" s="15"/>
      <c r="W73" s="15"/>
      <c r="X73" s="15"/>
      <c r="Y73" s="15"/>
      <c r="Z73" s="15"/>
    </row>
    <row r="74" spans="3:26">
      <c r="C74" s="20"/>
      <c r="D74" s="20"/>
      <c r="R74" s="22"/>
      <c r="S74" s="15"/>
      <c r="T74" s="15"/>
      <c r="U74" s="15"/>
      <c r="V74" s="15"/>
      <c r="W74" s="15"/>
      <c r="X74" s="15"/>
      <c r="Y74" s="15"/>
      <c r="Z74" s="15"/>
    </row>
    <row r="75" spans="3:26">
      <c r="C75" s="22"/>
      <c r="D75" s="22"/>
    </row>
    <row r="76" spans="3:26">
      <c r="C76" s="23"/>
      <c r="D76" s="20"/>
      <c r="S76" s="15"/>
      <c r="T76" s="15"/>
      <c r="U76" s="15"/>
      <c r="V76" s="15"/>
      <c r="W76" s="15"/>
      <c r="X76" s="15"/>
      <c r="Y76" s="15"/>
      <c r="Z76" s="15"/>
    </row>
    <row r="77" spans="3:26">
      <c r="C77" s="22"/>
      <c r="D77" s="22"/>
      <c r="S77" s="15"/>
      <c r="T77" s="15"/>
      <c r="U77" s="15"/>
      <c r="V77" s="15"/>
      <c r="W77" s="15"/>
      <c r="X77" s="15"/>
      <c r="Y77" s="15"/>
      <c r="Z77" s="15"/>
    </row>
    <row r="78" spans="3:26">
      <c r="C78" s="20"/>
      <c r="D78" s="21"/>
      <c r="S78" s="15"/>
      <c r="T78" s="15"/>
      <c r="U78" s="15"/>
      <c r="V78" s="15"/>
      <c r="W78" s="15"/>
      <c r="X78" s="15"/>
      <c r="Y78" s="15"/>
      <c r="Z78" s="15"/>
    </row>
    <row r="79" spans="3:26">
      <c r="C79" s="24"/>
      <c r="D79" s="22"/>
      <c r="S79" s="15"/>
      <c r="T79" s="15"/>
      <c r="U79" s="15"/>
      <c r="V79" s="15"/>
      <c r="W79" s="15"/>
      <c r="X79" s="15"/>
      <c r="Y79" s="15"/>
      <c r="Z79" s="15"/>
    </row>
    <row r="80" spans="3:26">
      <c r="C80" s="23"/>
      <c r="D80" s="20"/>
      <c r="S80" s="15"/>
      <c r="T80" s="15"/>
      <c r="U80" s="15"/>
      <c r="V80" s="15"/>
      <c r="W80" s="15"/>
      <c r="X80" s="15"/>
      <c r="Y80" s="15"/>
      <c r="Z80" s="15"/>
    </row>
    <row r="81" spans="3:26">
      <c r="C81" s="20"/>
      <c r="D81" s="20"/>
      <c r="S81" s="15"/>
      <c r="T81" s="15"/>
      <c r="U81" s="15"/>
      <c r="V81" s="15"/>
      <c r="W81" s="15"/>
      <c r="X81" s="15"/>
      <c r="Y81" s="15"/>
      <c r="Z81" s="15"/>
    </row>
    <row r="82" spans="3:26">
      <c r="C82" s="25"/>
      <c r="D82" s="22"/>
      <c r="S82" s="15"/>
      <c r="T82" s="15"/>
      <c r="U82" s="15"/>
      <c r="V82" s="15"/>
      <c r="W82" s="15"/>
      <c r="X82" s="15"/>
      <c r="Y82" s="15"/>
      <c r="Z82" s="15"/>
    </row>
    <row r="83" spans="3:26">
      <c r="C83" s="26"/>
      <c r="D83" s="20"/>
      <c r="S83" s="15"/>
      <c r="T83" s="15"/>
      <c r="U83" s="15"/>
      <c r="V83" s="15"/>
      <c r="W83" s="15"/>
      <c r="X83" s="15"/>
      <c r="Y83" s="15"/>
      <c r="Z83" s="15"/>
    </row>
    <row r="84" spans="3:26">
      <c r="C84" s="26"/>
      <c r="D84" s="20"/>
      <c r="S84" s="15"/>
      <c r="T84" s="15"/>
      <c r="U84" s="15"/>
      <c r="V84" s="15"/>
      <c r="W84" s="15"/>
      <c r="X84" s="15"/>
      <c r="Y84" s="15"/>
      <c r="Z84" s="15"/>
    </row>
    <row r="85" spans="3:26">
      <c r="C85" s="25"/>
      <c r="D85" s="22"/>
      <c r="S85" s="14"/>
      <c r="T85" s="14"/>
      <c r="U85" s="14"/>
      <c r="V85" s="14"/>
      <c r="W85" s="14"/>
      <c r="X85" s="14"/>
      <c r="Y85" s="14"/>
      <c r="Z85" s="14"/>
    </row>
    <row r="86" spans="3:26">
      <c r="S86" s="14"/>
      <c r="T86" s="14"/>
      <c r="U86" s="14"/>
      <c r="V86" s="14"/>
      <c r="W86" s="14"/>
      <c r="X86" s="14"/>
      <c r="Y86" s="14"/>
      <c r="Z86" s="14"/>
    </row>
    <row r="87" spans="3:26">
      <c r="S87" s="14"/>
      <c r="T87" s="14"/>
      <c r="U87" s="14"/>
      <c r="V87" s="14"/>
      <c r="W87" s="14"/>
      <c r="X87" s="14"/>
      <c r="Y87" s="14"/>
      <c r="Z87" s="14"/>
    </row>
    <row r="88" spans="3:26">
      <c r="S88" s="14"/>
      <c r="T88" s="14"/>
      <c r="U88" s="14"/>
      <c r="V88" s="14"/>
      <c r="W88" s="14"/>
      <c r="X88" s="14"/>
      <c r="Y88" s="14"/>
      <c r="Z88" s="14"/>
    </row>
    <row r="89" spans="3:26">
      <c r="S89" s="14"/>
      <c r="T89" s="14"/>
      <c r="U89" s="14"/>
      <c r="V89" s="14"/>
      <c r="W89" s="14"/>
      <c r="X89" s="14"/>
      <c r="Y89" s="14"/>
      <c r="Z89" s="14"/>
    </row>
    <row r="90" spans="3:26">
      <c r="S90" s="15"/>
      <c r="T90" s="15"/>
      <c r="U90" s="15"/>
      <c r="V90" s="15"/>
      <c r="W90" s="15"/>
      <c r="X90" s="15"/>
      <c r="Y90" s="15"/>
      <c r="Z90" s="15"/>
    </row>
  </sheetData>
  <pageMargins left="0.31496062992125984" right="0.31496062992125984" top="0.74803149606299213" bottom="0.74803149606299213" header="0.31496062992125984" footer="0.31496062992125984"/>
  <pageSetup scale="97" orientation="landscape" r:id="rId1"/>
  <ignoredErrors>
    <ignoredError sqref="AF27:AL2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Normal="100" workbookViewId="0">
      <pane xSplit="2" ySplit="3" topLeftCell="AB4" activePane="bottomRight" state="frozenSplit"/>
      <selection pane="topRight" activeCell="C1" sqref="C1"/>
      <selection pane="bottomLeft" activeCell="A2" sqref="A2"/>
      <selection pane="bottomRight"/>
    </sheetView>
  </sheetViews>
  <sheetFormatPr defaultColWidth="8.75" defaultRowHeight="12" outlineLevelCol="1"/>
  <cols>
    <col min="1" max="1" width="28.58203125" style="99" customWidth="1"/>
    <col min="2" max="2" width="39.58203125" style="99" customWidth="1"/>
    <col min="3" max="3" width="14.75" style="99" hidden="1" customWidth="1" outlineLevel="1"/>
    <col min="4" max="6" width="11.08203125" style="99" hidden="1" customWidth="1" outlineLevel="1"/>
    <col min="7" max="7" width="11.08203125" style="99" customWidth="1" collapsed="1"/>
    <col min="8" max="11" width="9.75" style="99" customWidth="1"/>
    <col min="12" max="16" width="9.75" style="99" customWidth="1" collapsed="1"/>
    <col min="17" max="24" width="11.08203125" style="99" customWidth="1" collapsed="1"/>
    <col min="25" max="29" width="10.75" style="99" customWidth="1"/>
    <col min="30" max="32" width="10.83203125" style="99" customWidth="1"/>
    <col min="33" max="255" width="8.75" style="99"/>
    <col min="256" max="256" width="38.58203125" style="99" customWidth="1"/>
    <col min="257" max="257" width="41.08203125" style="99" customWidth="1"/>
    <col min="258" max="258" width="14.75" style="99" customWidth="1"/>
    <col min="259" max="266" width="11.08203125" style="99" customWidth="1"/>
    <col min="267" max="267" width="8.75" style="99" customWidth="1"/>
    <col min="268" max="511" width="8.75" style="99"/>
    <col min="512" max="512" width="38.58203125" style="99" customWidth="1"/>
    <col min="513" max="513" width="41.08203125" style="99" customWidth="1"/>
    <col min="514" max="514" width="14.75" style="99" customWidth="1"/>
    <col min="515" max="522" width="11.08203125" style="99" customWidth="1"/>
    <col min="523" max="523" width="8.75" style="99" customWidth="1"/>
    <col min="524" max="767" width="8.75" style="99"/>
    <col min="768" max="768" width="38.58203125" style="99" customWidth="1"/>
    <col min="769" max="769" width="41.08203125" style="99" customWidth="1"/>
    <col min="770" max="770" width="14.75" style="99" customWidth="1"/>
    <col min="771" max="778" width="11.08203125" style="99" customWidth="1"/>
    <col min="779" max="779" width="8.75" style="99" customWidth="1"/>
    <col min="780" max="1023" width="8.75" style="99"/>
    <col min="1024" max="1024" width="38.58203125" style="99" customWidth="1"/>
    <col min="1025" max="1025" width="41.08203125" style="99" customWidth="1"/>
    <col min="1026" max="1026" width="14.75" style="99" customWidth="1"/>
    <col min="1027" max="1034" width="11.08203125" style="99" customWidth="1"/>
    <col min="1035" max="1035" width="8.75" style="99" customWidth="1"/>
    <col min="1036" max="1279" width="8.75" style="99"/>
    <col min="1280" max="1280" width="38.58203125" style="99" customWidth="1"/>
    <col min="1281" max="1281" width="41.08203125" style="99" customWidth="1"/>
    <col min="1282" max="1282" width="14.75" style="99" customWidth="1"/>
    <col min="1283" max="1290" width="11.08203125" style="99" customWidth="1"/>
    <col min="1291" max="1291" width="8.75" style="99" customWidth="1"/>
    <col min="1292" max="1535" width="8.75" style="99"/>
    <col min="1536" max="1536" width="38.58203125" style="99" customWidth="1"/>
    <col min="1537" max="1537" width="41.08203125" style="99" customWidth="1"/>
    <col min="1538" max="1538" width="14.75" style="99" customWidth="1"/>
    <col min="1539" max="1546" width="11.08203125" style="99" customWidth="1"/>
    <col min="1547" max="1547" width="8.75" style="99" customWidth="1"/>
    <col min="1548" max="1791" width="8.75" style="99"/>
    <col min="1792" max="1792" width="38.58203125" style="99" customWidth="1"/>
    <col min="1793" max="1793" width="41.08203125" style="99" customWidth="1"/>
    <col min="1794" max="1794" width="14.75" style="99" customWidth="1"/>
    <col min="1795" max="1802" width="11.08203125" style="99" customWidth="1"/>
    <col min="1803" max="1803" width="8.75" style="99" customWidth="1"/>
    <col min="1804" max="2047" width="8.75" style="99"/>
    <col min="2048" max="2048" width="38.58203125" style="99" customWidth="1"/>
    <col min="2049" max="2049" width="41.08203125" style="99" customWidth="1"/>
    <col min="2050" max="2050" width="14.75" style="99" customWidth="1"/>
    <col min="2051" max="2058" width="11.08203125" style="99" customWidth="1"/>
    <col min="2059" max="2059" width="8.75" style="99" customWidth="1"/>
    <col min="2060" max="2303" width="8.75" style="99"/>
    <col min="2304" max="2304" width="38.58203125" style="99" customWidth="1"/>
    <col min="2305" max="2305" width="41.08203125" style="99" customWidth="1"/>
    <col min="2306" max="2306" width="14.75" style="99" customWidth="1"/>
    <col min="2307" max="2314" width="11.08203125" style="99" customWidth="1"/>
    <col min="2315" max="2315" width="8.75" style="99" customWidth="1"/>
    <col min="2316" max="2559" width="8.75" style="99"/>
    <col min="2560" max="2560" width="38.58203125" style="99" customWidth="1"/>
    <col min="2561" max="2561" width="41.08203125" style="99" customWidth="1"/>
    <col min="2562" max="2562" width="14.75" style="99" customWidth="1"/>
    <col min="2563" max="2570" width="11.08203125" style="99" customWidth="1"/>
    <col min="2571" max="2571" width="8.75" style="99" customWidth="1"/>
    <col min="2572" max="2815" width="8.75" style="99"/>
    <col min="2816" max="2816" width="38.58203125" style="99" customWidth="1"/>
    <col min="2817" max="2817" width="41.08203125" style="99" customWidth="1"/>
    <col min="2818" max="2818" width="14.75" style="99" customWidth="1"/>
    <col min="2819" max="2826" width="11.08203125" style="99" customWidth="1"/>
    <col min="2827" max="2827" width="8.75" style="99" customWidth="1"/>
    <col min="2828" max="3071" width="8.75" style="99"/>
    <col min="3072" max="3072" width="38.58203125" style="99" customWidth="1"/>
    <col min="3073" max="3073" width="41.08203125" style="99" customWidth="1"/>
    <col min="3074" max="3074" width="14.75" style="99" customWidth="1"/>
    <col min="3075" max="3082" width="11.08203125" style="99" customWidth="1"/>
    <col min="3083" max="3083" width="8.75" style="99" customWidth="1"/>
    <col min="3084" max="3327" width="8.75" style="99"/>
    <col min="3328" max="3328" width="38.58203125" style="99" customWidth="1"/>
    <col min="3329" max="3329" width="41.08203125" style="99" customWidth="1"/>
    <col min="3330" max="3330" width="14.75" style="99" customWidth="1"/>
    <col min="3331" max="3338" width="11.08203125" style="99" customWidth="1"/>
    <col min="3339" max="3339" width="8.75" style="99" customWidth="1"/>
    <col min="3340" max="3583" width="8.75" style="99"/>
    <col min="3584" max="3584" width="38.58203125" style="99" customWidth="1"/>
    <col min="3585" max="3585" width="41.08203125" style="99" customWidth="1"/>
    <col min="3586" max="3586" width="14.75" style="99" customWidth="1"/>
    <col min="3587" max="3594" width="11.08203125" style="99" customWidth="1"/>
    <col min="3595" max="3595" width="8.75" style="99" customWidth="1"/>
    <col min="3596" max="3839" width="8.75" style="99"/>
    <col min="3840" max="3840" width="38.58203125" style="99" customWidth="1"/>
    <col min="3841" max="3841" width="41.08203125" style="99" customWidth="1"/>
    <col min="3842" max="3842" width="14.75" style="99" customWidth="1"/>
    <col min="3843" max="3850" width="11.08203125" style="99" customWidth="1"/>
    <col min="3851" max="3851" width="8.75" style="99" customWidth="1"/>
    <col min="3852" max="4095" width="8.75" style="99"/>
    <col min="4096" max="4096" width="38.58203125" style="99" customWidth="1"/>
    <col min="4097" max="4097" width="41.08203125" style="99" customWidth="1"/>
    <col min="4098" max="4098" width="14.75" style="99" customWidth="1"/>
    <col min="4099" max="4106" width="11.08203125" style="99" customWidth="1"/>
    <col min="4107" max="4107" width="8.75" style="99" customWidth="1"/>
    <col min="4108" max="4351" width="8.75" style="99"/>
    <col min="4352" max="4352" width="38.58203125" style="99" customWidth="1"/>
    <col min="4353" max="4353" width="41.08203125" style="99" customWidth="1"/>
    <col min="4354" max="4354" width="14.75" style="99" customWidth="1"/>
    <col min="4355" max="4362" width="11.08203125" style="99" customWidth="1"/>
    <col min="4363" max="4363" width="8.75" style="99" customWidth="1"/>
    <col min="4364" max="4607" width="8.75" style="99"/>
    <col min="4608" max="4608" width="38.58203125" style="99" customWidth="1"/>
    <col min="4609" max="4609" width="41.08203125" style="99" customWidth="1"/>
    <col min="4610" max="4610" width="14.75" style="99" customWidth="1"/>
    <col min="4611" max="4618" width="11.08203125" style="99" customWidth="1"/>
    <col min="4619" max="4619" width="8.75" style="99" customWidth="1"/>
    <col min="4620" max="4863" width="8.75" style="99"/>
    <col min="4864" max="4864" width="38.58203125" style="99" customWidth="1"/>
    <col min="4865" max="4865" width="41.08203125" style="99" customWidth="1"/>
    <col min="4866" max="4866" width="14.75" style="99" customWidth="1"/>
    <col min="4867" max="4874" width="11.08203125" style="99" customWidth="1"/>
    <col min="4875" max="4875" width="8.75" style="99" customWidth="1"/>
    <col min="4876" max="5119" width="8.75" style="99"/>
    <col min="5120" max="5120" width="38.58203125" style="99" customWidth="1"/>
    <col min="5121" max="5121" width="41.08203125" style="99" customWidth="1"/>
    <col min="5122" max="5122" width="14.75" style="99" customWidth="1"/>
    <col min="5123" max="5130" width="11.08203125" style="99" customWidth="1"/>
    <col min="5131" max="5131" width="8.75" style="99" customWidth="1"/>
    <col min="5132" max="5375" width="8.75" style="99"/>
    <col min="5376" max="5376" width="38.58203125" style="99" customWidth="1"/>
    <col min="5377" max="5377" width="41.08203125" style="99" customWidth="1"/>
    <col min="5378" max="5378" width="14.75" style="99" customWidth="1"/>
    <col min="5379" max="5386" width="11.08203125" style="99" customWidth="1"/>
    <col min="5387" max="5387" width="8.75" style="99" customWidth="1"/>
    <col min="5388" max="5631" width="8.75" style="99"/>
    <col min="5632" max="5632" width="38.58203125" style="99" customWidth="1"/>
    <col min="5633" max="5633" width="41.08203125" style="99" customWidth="1"/>
    <col min="5634" max="5634" width="14.75" style="99" customWidth="1"/>
    <col min="5635" max="5642" width="11.08203125" style="99" customWidth="1"/>
    <col min="5643" max="5643" width="8.75" style="99" customWidth="1"/>
    <col min="5644" max="5887" width="8.75" style="99"/>
    <col min="5888" max="5888" width="38.58203125" style="99" customWidth="1"/>
    <col min="5889" max="5889" width="41.08203125" style="99" customWidth="1"/>
    <col min="5890" max="5890" width="14.75" style="99" customWidth="1"/>
    <col min="5891" max="5898" width="11.08203125" style="99" customWidth="1"/>
    <col min="5899" max="5899" width="8.75" style="99" customWidth="1"/>
    <col min="5900" max="6143" width="8.75" style="99"/>
    <col min="6144" max="6144" width="38.58203125" style="99" customWidth="1"/>
    <col min="6145" max="6145" width="41.08203125" style="99" customWidth="1"/>
    <col min="6146" max="6146" width="14.75" style="99" customWidth="1"/>
    <col min="6147" max="6154" width="11.08203125" style="99" customWidth="1"/>
    <col min="6155" max="6155" width="8.75" style="99" customWidth="1"/>
    <col min="6156" max="6399" width="8.75" style="99"/>
    <col min="6400" max="6400" width="38.58203125" style="99" customWidth="1"/>
    <col min="6401" max="6401" width="41.08203125" style="99" customWidth="1"/>
    <col min="6402" max="6402" width="14.75" style="99" customWidth="1"/>
    <col min="6403" max="6410" width="11.08203125" style="99" customWidth="1"/>
    <col min="6411" max="6411" width="8.75" style="99" customWidth="1"/>
    <col min="6412" max="6655" width="8.75" style="99"/>
    <col min="6656" max="6656" width="38.58203125" style="99" customWidth="1"/>
    <col min="6657" max="6657" width="41.08203125" style="99" customWidth="1"/>
    <col min="6658" max="6658" width="14.75" style="99" customWidth="1"/>
    <col min="6659" max="6666" width="11.08203125" style="99" customWidth="1"/>
    <col min="6667" max="6667" width="8.75" style="99" customWidth="1"/>
    <col min="6668" max="6911" width="8.75" style="99"/>
    <col min="6912" max="6912" width="38.58203125" style="99" customWidth="1"/>
    <col min="6913" max="6913" width="41.08203125" style="99" customWidth="1"/>
    <col min="6914" max="6914" width="14.75" style="99" customWidth="1"/>
    <col min="6915" max="6922" width="11.08203125" style="99" customWidth="1"/>
    <col min="6923" max="6923" width="8.75" style="99" customWidth="1"/>
    <col min="6924" max="7167" width="8.75" style="99"/>
    <col min="7168" max="7168" width="38.58203125" style="99" customWidth="1"/>
    <col min="7169" max="7169" width="41.08203125" style="99" customWidth="1"/>
    <col min="7170" max="7170" width="14.75" style="99" customWidth="1"/>
    <col min="7171" max="7178" width="11.08203125" style="99" customWidth="1"/>
    <col min="7179" max="7179" width="8.75" style="99" customWidth="1"/>
    <col min="7180" max="7423" width="8.75" style="99"/>
    <col min="7424" max="7424" width="38.58203125" style="99" customWidth="1"/>
    <col min="7425" max="7425" width="41.08203125" style="99" customWidth="1"/>
    <col min="7426" max="7426" width="14.75" style="99" customWidth="1"/>
    <col min="7427" max="7434" width="11.08203125" style="99" customWidth="1"/>
    <col min="7435" max="7435" width="8.75" style="99" customWidth="1"/>
    <col min="7436" max="7679" width="8.75" style="99"/>
    <col min="7680" max="7680" width="38.58203125" style="99" customWidth="1"/>
    <col min="7681" max="7681" width="41.08203125" style="99" customWidth="1"/>
    <col min="7682" max="7682" width="14.75" style="99" customWidth="1"/>
    <col min="7683" max="7690" width="11.08203125" style="99" customWidth="1"/>
    <col min="7691" max="7691" width="8.75" style="99" customWidth="1"/>
    <col min="7692" max="7935" width="8.75" style="99"/>
    <col min="7936" max="7936" width="38.58203125" style="99" customWidth="1"/>
    <col min="7937" max="7937" width="41.08203125" style="99" customWidth="1"/>
    <col min="7938" max="7938" width="14.75" style="99" customWidth="1"/>
    <col min="7939" max="7946" width="11.08203125" style="99" customWidth="1"/>
    <col min="7947" max="7947" width="8.75" style="99" customWidth="1"/>
    <col min="7948" max="8191" width="8.75" style="99"/>
    <col min="8192" max="8192" width="38.58203125" style="99" customWidth="1"/>
    <col min="8193" max="8193" width="41.08203125" style="99" customWidth="1"/>
    <col min="8194" max="8194" width="14.75" style="99" customWidth="1"/>
    <col min="8195" max="8202" width="11.08203125" style="99" customWidth="1"/>
    <col min="8203" max="8203" width="8.75" style="99" customWidth="1"/>
    <col min="8204" max="8447" width="8.75" style="99"/>
    <col min="8448" max="8448" width="38.58203125" style="99" customWidth="1"/>
    <col min="8449" max="8449" width="41.08203125" style="99" customWidth="1"/>
    <col min="8450" max="8450" width="14.75" style="99" customWidth="1"/>
    <col min="8451" max="8458" width="11.08203125" style="99" customWidth="1"/>
    <col min="8459" max="8459" width="8.75" style="99" customWidth="1"/>
    <col min="8460" max="8703" width="8.75" style="99"/>
    <col min="8704" max="8704" width="38.58203125" style="99" customWidth="1"/>
    <col min="8705" max="8705" width="41.08203125" style="99" customWidth="1"/>
    <col min="8706" max="8706" width="14.75" style="99" customWidth="1"/>
    <col min="8707" max="8714" width="11.08203125" style="99" customWidth="1"/>
    <col min="8715" max="8715" width="8.75" style="99" customWidth="1"/>
    <col min="8716" max="8959" width="8.75" style="99"/>
    <col min="8960" max="8960" width="38.58203125" style="99" customWidth="1"/>
    <col min="8961" max="8961" width="41.08203125" style="99" customWidth="1"/>
    <col min="8962" max="8962" width="14.75" style="99" customWidth="1"/>
    <col min="8963" max="8970" width="11.08203125" style="99" customWidth="1"/>
    <col min="8971" max="8971" width="8.75" style="99" customWidth="1"/>
    <col min="8972" max="9215" width="8.75" style="99"/>
    <col min="9216" max="9216" width="38.58203125" style="99" customWidth="1"/>
    <col min="9217" max="9217" width="41.08203125" style="99" customWidth="1"/>
    <col min="9218" max="9218" width="14.75" style="99" customWidth="1"/>
    <col min="9219" max="9226" width="11.08203125" style="99" customWidth="1"/>
    <col min="9227" max="9227" width="8.75" style="99" customWidth="1"/>
    <col min="9228" max="9471" width="8.75" style="99"/>
    <col min="9472" max="9472" width="38.58203125" style="99" customWidth="1"/>
    <col min="9473" max="9473" width="41.08203125" style="99" customWidth="1"/>
    <col min="9474" max="9474" width="14.75" style="99" customWidth="1"/>
    <col min="9475" max="9482" width="11.08203125" style="99" customWidth="1"/>
    <col min="9483" max="9483" width="8.75" style="99" customWidth="1"/>
    <col min="9484" max="9727" width="8.75" style="99"/>
    <col min="9728" max="9728" width="38.58203125" style="99" customWidth="1"/>
    <col min="9729" max="9729" width="41.08203125" style="99" customWidth="1"/>
    <col min="9730" max="9730" width="14.75" style="99" customWidth="1"/>
    <col min="9731" max="9738" width="11.08203125" style="99" customWidth="1"/>
    <col min="9739" max="9739" width="8.75" style="99" customWidth="1"/>
    <col min="9740" max="9983" width="8.75" style="99"/>
    <col min="9984" max="9984" width="38.58203125" style="99" customWidth="1"/>
    <col min="9985" max="9985" width="41.08203125" style="99" customWidth="1"/>
    <col min="9986" max="9986" width="14.75" style="99" customWidth="1"/>
    <col min="9987" max="9994" width="11.08203125" style="99" customWidth="1"/>
    <col min="9995" max="9995" width="8.75" style="99" customWidth="1"/>
    <col min="9996" max="10239" width="8.75" style="99"/>
    <col min="10240" max="10240" width="38.58203125" style="99" customWidth="1"/>
    <col min="10241" max="10241" width="41.08203125" style="99" customWidth="1"/>
    <col min="10242" max="10242" width="14.75" style="99" customWidth="1"/>
    <col min="10243" max="10250" width="11.08203125" style="99" customWidth="1"/>
    <col min="10251" max="10251" width="8.75" style="99" customWidth="1"/>
    <col min="10252" max="10495" width="8.75" style="99"/>
    <col min="10496" max="10496" width="38.58203125" style="99" customWidth="1"/>
    <col min="10497" max="10497" width="41.08203125" style="99" customWidth="1"/>
    <col min="10498" max="10498" width="14.75" style="99" customWidth="1"/>
    <col min="10499" max="10506" width="11.08203125" style="99" customWidth="1"/>
    <col min="10507" max="10507" width="8.75" style="99" customWidth="1"/>
    <col min="10508" max="10751" width="8.75" style="99"/>
    <col min="10752" max="10752" width="38.58203125" style="99" customWidth="1"/>
    <col min="10753" max="10753" width="41.08203125" style="99" customWidth="1"/>
    <col min="10754" max="10754" width="14.75" style="99" customWidth="1"/>
    <col min="10755" max="10762" width="11.08203125" style="99" customWidth="1"/>
    <col min="10763" max="10763" width="8.75" style="99" customWidth="1"/>
    <col min="10764" max="11007" width="8.75" style="99"/>
    <col min="11008" max="11008" width="38.58203125" style="99" customWidth="1"/>
    <col min="11009" max="11009" width="41.08203125" style="99" customWidth="1"/>
    <col min="11010" max="11010" width="14.75" style="99" customWidth="1"/>
    <col min="11011" max="11018" width="11.08203125" style="99" customWidth="1"/>
    <col min="11019" max="11019" width="8.75" style="99" customWidth="1"/>
    <col min="11020" max="11263" width="8.75" style="99"/>
    <col min="11264" max="11264" width="38.58203125" style="99" customWidth="1"/>
    <col min="11265" max="11265" width="41.08203125" style="99" customWidth="1"/>
    <col min="11266" max="11266" width="14.75" style="99" customWidth="1"/>
    <col min="11267" max="11274" width="11.08203125" style="99" customWidth="1"/>
    <col min="11275" max="11275" width="8.75" style="99" customWidth="1"/>
    <col min="11276" max="11519" width="8.75" style="99"/>
    <col min="11520" max="11520" width="38.58203125" style="99" customWidth="1"/>
    <col min="11521" max="11521" width="41.08203125" style="99" customWidth="1"/>
    <col min="11522" max="11522" width="14.75" style="99" customWidth="1"/>
    <col min="11523" max="11530" width="11.08203125" style="99" customWidth="1"/>
    <col min="11531" max="11531" width="8.75" style="99" customWidth="1"/>
    <col min="11532" max="11775" width="8.75" style="99"/>
    <col min="11776" max="11776" width="38.58203125" style="99" customWidth="1"/>
    <col min="11777" max="11777" width="41.08203125" style="99" customWidth="1"/>
    <col min="11778" max="11778" width="14.75" style="99" customWidth="1"/>
    <col min="11779" max="11786" width="11.08203125" style="99" customWidth="1"/>
    <col min="11787" max="11787" width="8.75" style="99" customWidth="1"/>
    <col min="11788" max="12031" width="8.75" style="99"/>
    <col min="12032" max="12032" width="38.58203125" style="99" customWidth="1"/>
    <col min="12033" max="12033" width="41.08203125" style="99" customWidth="1"/>
    <col min="12034" max="12034" width="14.75" style="99" customWidth="1"/>
    <col min="12035" max="12042" width="11.08203125" style="99" customWidth="1"/>
    <col min="12043" max="12043" width="8.75" style="99" customWidth="1"/>
    <col min="12044" max="12287" width="8.75" style="99"/>
    <col min="12288" max="12288" width="38.58203125" style="99" customWidth="1"/>
    <col min="12289" max="12289" width="41.08203125" style="99" customWidth="1"/>
    <col min="12290" max="12290" width="14.75" style="99" customWidth="1"/>
    <col min="12291" max="12298" width="11.08203125" style="99" customWidth="1"/>
    <col min="12299" max="12299" width="8.75" style="99" customWidth="1"/>
    <col min="12300" max="12543" width="8.75" style="99"/>
    <col min="12544" max="12544" width="38.58203125" style="99" customWidth="1"/>
    <col min="12545" max="12545" width="41.08203125" style="99" customWidth="1"/>
    <col min="12546" max="12546" width="14.75" style="99" customWidth="1"/>
    <col min="12547" max="12554" width="11.08203125" style="99" customWidth="1"/>
    <col min="12555" max="12555" width="8.75" style="99" customWidth="1"/>
    <col min="12556" max="12799" width="8.75" style="99"/>
    <col min="12800" max="12800" width="38.58203125" style="99" customWidth="1"/>
    <col min="12801" max="12801" width="41.08203125" style="99" customWidth="1"/>
    <col min="12802" max="12802" width="14.75" style="99" customWidth="1"/>
    <col min="12803" max="12810" width="11.08203125" style="99" customWidth="1"/>
    <col min="12811" max="12811" width="8.75" style="99" customWidth="1"/>
    <col min="12812" max="13055" width="8.75" style="99"/>
    <col min="13056" max="13056" width="38.58203125" style="99" customWidth="1"/>
    <col min="13057" max="13057" width="41.08203125" style="99" customWidth="1"/>
    <col min="13058" max="13058" width="14.75" style="99" customWidth="1"/>
    <col min="13059" max="13066" width="11.08203125" style="99" customWidth="1"/>
    <col min="13067" max="13067" width="8.75" style="99" customWidth="1"/>
    <col min="13068" max="13311" width="8.75" style="99"/>
    <col min="13312" max="13312" width="38.58203125" style="99" customWidth="1"/>
    <col min="13313" max="13313" width="41.08203125" style="99" customWidth="1"/>
    <col min="13314" max="13314" width="14.75" style="99" customWidth="1"/>
    <col min="13315" max="13322" width="11.08203125" style="99" customWidth="1"/>
    <col min="13323" max="13323" width="8.75" style="99" customWidth="1"/>
    <col min="13324" max="13567" width="8.75" style="99"/>
    <col min="13568" max="13568" width="38.58203125" style="99" customWidth="1"/>
    <col min="13569" max="13569" width="41.08203125" style="99" customWidth="1"/>
    <col min="13570" max="13570" width="14.75" style="99" customWidth="1"/>
    <col min="13571" max="13578" width="11.08203125" style="99" customWidth="1"/>
    <col min="13579" max="13579" width="8.75" style="99" customWidth="1"/>
    <col min="13580" max="13823" width="8.75" style="99"/>
    <col min="13824" max="13824" width="38.58203125" style="99" customWidth="1"/>
    <col min="13825" max="13825" width="41.08203125" style="99" customWidth="1"/>
    <col min="13826" max="13826" width="14.75" style="99" customWidth="1"/>
    <col min="13827" max="13834" width="11.08203125" style="99" customWidth="1"/>
    <col min="13835" max="13835" width="8.75" style="99" customWidth="1"/>
    <col min="13836" max="14079" width="8.75" style="99"/>
    <col min="14080" max="14080" width="38.58203125" style="99" customWidth="1"/>
    <col min="14081" max="14081" width="41.08203125" style="99" customWidth="1"/>
    <col min="14082" max="14082" width="14.75" style="99" customWidth="1"/>
    <col min="14083" max="14090" width="11.08203125" style="99" customWidth="1"/>
    <col min="14091" max="14091" width="8.75" style="99" customWidth="1"/>
    <col min="14092" max="14335" width="8.75" style="99"/>
    <col min="14336" max="14336" width="38.58203125" style="99" customWidth="1"/>
    <col min="14337" max="14337" width="41.08203125" style="99" customWidth="1"/>
    <col min="14338" max="14338" width="14.75" style="99" customWidth="1"/>
    <col min="14339" max="14346" width="11.08203125" style="99" customWidth="1"/>
    <col min="14347" max="14347" width="8.75" style="99" customWidth="1"/>
    <col min="14348" max="14591" width="8.75" style="99"/>
    <col min="14592" max="14592" width="38.58203125" style="99" customWidth="1"/>
    <col min="14593" max="14593" width="41.08203125" style="99" customWidth="1"/>
    <col min="14594" max="14594" width="14.75" style="99" customWidth="1"/>
    <col min="14595" max="14602" width="11.08203125" style="99" customWidth="1"/>
    <col min="14603" max="14603" width="8.75" style="99" customWidth="1"/>
    <col min="14604" max="14847" width="8.75" style="99"/>
    <col min="14848" max="14848" width="38.58203125" style="99" customWidth="1"/>
    <col min="14849" max="14849" width="41.08203125" style="99" customWidth="1"/>
    <col min="14850" max="14850" width="14.75" style="99" customWidth="1"/>
    <col min="14851" max="14858" width="11.08203125" style="99" customWidth="1"/>
    <col min="14859" max="14859" width="8.75" style="99" customWidth="1"/>
    <col min="14860" max="15103" width="8.75" style="99"/>
    <col min="15104" max="15104" width="38.58203125" style="99" customWidth="1"/>
    <col min="15105" max="15105" width="41.08203125" style="99" customWidth="1"/>
    <col min="15106" max="15106" width="14.75" style="99" customWidth="1"/>
    <col min="15107" max="15114" width="11.08203125" style="99" customWidth="1"/>
    <col min="15115" max="15115" width="8.75" style="99" customWidth="1"/>
    <col min="15116" max="15359" width="8.75" style="99"/>
    <col min="15360" max="15360" width="38.58203125" style="99" customWidth="1"/>
    <col min="15361" max="15361" width="41.08203125" style="99" customWidth="1"/>
    <col min="15362" max="15362" width="14.75" style="99" customWidth="1"/>
    <col min="15363" max="15370" width="11.08203125" style="99" customWidth="1"/>
    <col min="15371" max="15371" width="8.75" style="99" customWidth="1"/>
    <col min="15372" max="15615" width="8.75" style="99"/>
    <col min="15616" max="15616" width="38.58203125" style="99" customWidth="1"/>
    <col min="15617" max="15617" width="41.08203125" style="99" customWidth="1"/>
    <col min="15618" max="15618" width="14.75" style="99" customWidth="1"/>
    <col min="15619" max="15626" width="11.08203125" style="99" customWidth="1"/>
    <col min="15627" max="15627" width="8.75" style="99" customWidth="1"/>
    <col min="15628" max="15871" width="8.75" style="99"/>
    <col min="15872" max="15872" width="38.58203125" style="99" customWidth="1"/>
    <col min="15873" max="15873" width="41.08203125" style="99" customWidth="1"/>
    <col min="15874" max="15874" width="14.75" style="99" customWidth="1"/>
    <col min="15875" max="15882" width="11.08203125" style="99" customWidth="1"/>
    <col min="15883" max="15883" width="8.75" style="99" customWidth="1"/>
    <col min="15884" max="16127" width="8.75" style="99"/>
    <col min="16128" max="16128" width="38.58203125" style="99" customWidth="1"/>
    <col min="16129" max="16129" width="41.08203125" style="99" customWidth="1"/>
    <col min="16130" max="16130" width="14.75" style="99" customWidth="1"/>
    <col min="16131" max="16138" width="11.08203125" style="99" customWidth="1"/>
    <col min="16139" max="16139" width="8.75" style="99" customWidth="1"/>
    <col min="16140" max="16384" width="8.75" style="99"/>
  </cols>
  <sheetData>
    <row r="1" spans="1:35" ht="12.5">
      <c r="A1" s="135" t="s">
        <v>424</v>
      </c>
      <c r="AF1" s="262"/>
    </row>
    <row r="2" spans="1:35" ht="12.5">
      <c r="A2" s="135" t="s">
        <v>425</v>
      </c>
      <c r="AF2" s="262"/>
    </row>
    <row r="3" spans="1:35">
      <c r="A3" s="136" t="s">
        <v>389</v>
      </c>
      <c r="B3" s="136" t="s">
        <v>331</v>
      </c>
      <c r="C3" s="137" t="s">
        <v>191</v>
      </c>
      <c r="D3" s="137" t="s">
        <v>221</v>
      </c>
      <c r="E3" s="137" t="s">
        <v>264</v>
      </c>
      <c r="F3" s="137" t="s">
        <v>301</v>
      </c>
      <c r="G3" s="137" t="s">
        <v>304</v>
      </c>
      <c r="H3" s="137" t="s">
        <v>308</v>
      </c>
      <c r="I3" s="137" t="s">
        <v>319</v>
      </c>
      <c r="J3" s="137" t="s">
        <v>324</v>
      </c>
      <c r="K3" s="137" t="s">
        <v>330</v>
      </c>
      <c r="L3" s="137" t="s">
        <v>401</v>
      </c>
      <c r="M3" s="137" t="s">
        <v>469</v>
      </c>
      <c r="N3" s="137" t="s">
        <v>474</v>
      </c>
      <c r="O3" s="137" t="s">
        <v>481</v>
      </c>
      <c r="P3" s="137" t="s">
        <v>490</v>
      </c>
      <c r="Q3" s="137" t="s">
        <v>503</v>
      </c>
      <c r="R3" s="137" t="s">
        <v>507</v>
      </c>
      <c r="S3" s="137" t="s">
        <v>512</v>
      </c>
      <c r="T3" s="137" t="s">
        <v>516</v>
      </c>
      <c r="U3" s="137" t="s">
        <v>519</v>
      </c>
      <c r="V3" s="137" t="s">
        <v>524</v>
      </c>
      <c r="W3" s="137" t="s">
        <v>542</v>
      </c>
      <c r="X3" s="137" t="s">
        <v>548</v>
      </c>
      <c r="Y3" s="137" t="s">
        <v>650</v>
      </c>
      <c r="Z3" s="137" t="s">
        <v>653</v>
      </c>
      <c r="AA3" s="137" t="s">
        <v>663</v>
      </c>
      <c r="AB3" s="137" t="s">
        <v>667</v>
      </c>
      <c r="AC3" s="137" t="s">
        <v>674</v>
      </c>
      <c r="AD3" s="137" t="s">
        <v>677</v>
      </c>
      <c r="AE3" s="137" t="s">
        <v>684</v>
      </c>
      <c r="AF3" s="137" t="s">
        <v>691</v>
      </c>
    </row>
    <row r="4" spans="1:35" ht="12.5" thickBot="1">
      <c r="A4" s="138" t="s">
        <v>426</v>
      </c>
      <c r="B4" s="138" t="s">
        <v>427</v>
      </c>
      <c r="C4" s="153">
        <v>48908306</v>
      </c>
      <c r="D4" s="153">
        <v>48658366</v>
      </c>
      <c r="E4" s="153">
        <v>50907282</v>
      </c>
      <c r="F4" s="153">
        <v>51503396</v>
      </c>
      <c r="G4" s="153">
        <v>53220022</v>
      </c>
      <c r="H4" s="153">
        <v>54429453</v>
      </c>
      <c r="I4" s="153">
        <v>68311413</v>
      </c>
      <c r="J4" s="153">
        <v>69930817</v>
      </c>
      <c r="K4" s="153">
        <f>+K5+K6</f>
        <v>70005090</v>
      </c>
      <c r="L4" s="153">
        <f t="shared" ref="L4:X4" si="0">+L5+L6</f>
        <v>72572252</v>
      </c>
      <c r="M4" s="153">
        <f t="shared" si="0"/>
        <v>72106820</v>
      </c>
      <c r="N4" s="153">
        <f t="shared" si="0"/>
        <v>73144792</v>
      </c>
      <c r="O4" s="153">
        <f t="shared" si="0"/>
        <v>74396224</v>
      </c>
      <c r="P4" s="153">
        <f t="shared" si="0"/>
        <v>75316516</v>
      </c>
      <c r="Q4" s="153">
        <f t="shared" si="0"/>
        <v>76451755</v>
      </c>
      <c r="R4" s="153">
        <f t="shared" si="0"/>
        <v>79218973</v>
      </c>
      <c r="S4" s="153">
        <f t="shared" si="0"/>
        <v>80614580</v>
      </c>
      <c r="T4" s="153">
        <f t="shared" si="0"/>
        <v>80825614</v>
      </c>
      <c r="U4" s="153">
        <f t="shared" si="0"/>
        <v>81484872</v>
      </c>
      <c r="V4" s="153">
        <f t="shared" si="0"/>
        <v>81325421</v>
      </c>
      <c r="W4" s="153">
        <f t="shared" si="0"/>
        <v>78887990</v>
      </c>
      <c r="X4" s="153">
        <f t="shared" si="0"/>
        <v>77780795</v>
      </c>
      <c r="Y4" s="153">
        <f t="shared" ref="Y4:AF4" si="1">+Y5+Y6</f>
        <v>76592404</v>
      </c>
      <c r="Z4" s="153">
        <f t="shared" si="1"/>
        <v>76519794</v>
      </c>
      <c r="AA4" s="153">
        <f t="shared" si="1"/>
        <v>76120265</v>
      </c>
      <c r="AB4" s="153">
        <f t="shared" si="1"/>
        <v>76482162</v>
      </c>
      <c r="AC4" s="153">
        <f t="shared" si="1"/>
        <v>77226715</v>
      </c>
      <c r="AD4" s="153">
        <f t="shared" si="1"/>
        <v>78133696</v>
      </c>
      <c r="AE4" s="153">
        <f t="shared" si="1"/>
        <v>77482836</v>
      </c>
      <c r="AF4" s="153">
        <f t="shared" si="1"/>
        <v>77095404</v>
      </c>
      <c r="AH4" s="146"/>
      <c r="AI4" s="146"/>
    </row>
    <row r="5" spans="1:35" ht="12.5" thickBot="1">
      <c r="A5" s="139" t="s">
        <v>428</v>
      </c>
      <c r="B5" s="139" t="s">
        <v>429</v>
      </c>
      <c r="C5" s="154">
        <v>2232666</v>
      </c>
      <c r="D5" s="154">
        <v>2364089</v>
      </c>
      <c r="E5" s="154">
        <v>2408724</v>
      </c>
      <c r="F5" s="154">
        <v>2411735</v>
      </c>
      <c r="G5" s="154">
        <v>2403894</v>
      </c>
      <c r="H5" s="154">
        <v>2411452</v>
      </c>
      <c r="I5" s="154">
        <v>2938832</v>
      </c>
      <c r="J5" s="154">
        <v>3076635</v>
      </c>
      <c r="K5" s="154">
        <v>3199909</v>
      </c>
      <c r="L5" s="154">
        <v>3435785</v>
      </c>
      <c r="M5" s="154">
        <v>3481669</v>
      </c>
      <c r="N5" s="154">
        <v>3456672</v>
      </c>
      <c r="O5" s="154">
        <v>3683798</v>
      </c>
      <c r="P5" s="154">
        <v>3643698</v>
      </c>
      <c r="Q5" s="154">
        <v>3574582</v>
      </c>
      <c r="R5" s="154">
        <v>3635181</v>
      </c>
      <c r="S5" s="154">
        <v>3485056</v>
      </c>
      <c r="T5" s="154">
        <v>3540314</v>
      </c>
      <c r="U5" s="154">
        <v>3447885</v>
      </c>
      <c r="V5" s="154">
        <v>3642990</v>
      </c>
      <c r="W5" s="154">
        <v>3466148</v>
      </c>
      <c r="X5" s="154">
        <v>3650720</v>
      </c>
      <c r="Y5" s="154">
        <v>3417580</v>
      </c>
      <c r="Z5" s="154">
        <v>3545132</v>
      </c>
      <c r="AA5" s="154">
        <v>3458837</v>
      </c>
      <c r="AB5" s="154">
        <v>3523173</v>
      </c>
      <c r="AC5" s="154">
        <v>3483398</v>
      </c>
      <c r="AD5" s="154">
        <v>3605013</v>
      </c>
      <c r="AE5" s="154">
        <v>3438697</v>
      </c>
      <c r="AF5" s="154">
        <v>3457622</v>
      </c>
      <c r="AH5" s="146"/>
      <c r="AI5" s="146"/>
    </row>
    <row r="6" spans="1:35" ht="12.5" thickBot="1">
      <c r="A6" s="139" t="s">
        <v>430</v>
      </c>
      <c r="B6" s="139" t="s">
        <v>431</v>
      </c>
      <c r="C6" s="154">
        <v>46675640</v>
      </c>
      <c r="D6" s="154">
        <v>46294277</v>
      </c>
      <c r="E6" s="154">
        <v>48498558</v>
      </c>
      <c r="F6" s="154">
        <v>49091661</v>
      </c>
      <c r="G6" s="154">
        <v>50816128</v>
      </c>
      <c r="H6" s="154">
        <v>52018001</v>
      </c>
      <c r="I6" s="154">
        <v>65372581</v>
      </c>
      <c r="J6" s="154">
        <v>66854182</v>
      </c>
      <c r="K6" s="154">
        <v>66805181</v>
      </c>
      <c r="L6" s="154">
        <v>69136467</v>
      </c>
      <c r="M6" s="154">
        <v>68625151</v>
      </c>
      <c r="N6" s="154">
        <v>69688120</v>
      </c>
      <c r="O6" s="154">
        <v>70712426</v>
      </c>
      <c r="P6" s="154">
        <v>71672818</v>
      </c>
      <c r="Q6" s="154">
        <v>72877173</v>
      </c>
      <c r="R6" s="154">
        <v>75583792</v>
      </c>
      <c r="S6" s="154">
        <v>77129524</v>
      </c>
      <c r="T6" s="154">
        <v>77285300</v>
      </c>
      <c r="U6" s="154">
        <v>78036987</v>
      </c>
      <c r="V6" s="154">
        <v>77682431</v>
      </c>
      <c r="W6" s="154">
        <v>75421842</v>
      </c>
      <c r="X6" s="154">
        <v>74130075</v>
      </c>
      <c r="Y6" s="154">
        <v>73174824</v>
      </c>
      <c r="Z6" s="154">
        <v>72974662</v>
      </c>
      <c r="AA6" s="154">
        <v>72661428</v>
      </c>
      <c r="AB6" s="154">
        <v>72958989</v>
      </c>
      <c r="AC6" s="154">
        <v>73743317</v>
      </c>
      <c r="AD6" s="154">
        <v>74528683</v>
      </c>
      <c r="AE6" s="154">
        <v>74044139</v>
      </c>
      <c r="AF6" s="154">
        <v>73637782</v>
      </c>
      <c r="AH6" s="146"/>
      <c r="AI6" s="146"/>
    </row>
    <row r="7" spans="1:35" ht="12.5" thickBot="1">
      <c r="A7" s="140" t="s">
        <v>432</v>
      </c>
      <c r="B7" s="140" t="s">
        <v>433</v>
      </c>
      <c r="C7" s="155">
        <v>-1497228</v>
      </c>
      <c r="D7" s="155">
        <v>-1763613</v>
      </c>
      <c r="E7" s="155">
        <v>-1805316</v>
      </c>
      <c r="F7" s="155">
        <v>-1780837</v>
      </c>
      <c r="G7" s="155">
        <v>-1758867</v>
      </c>
      <c r="H7" s="155">
        <v>-1730588</v>
      </c>
      <c r="I7" s="155">
        <v>-1797628</v>
      </c>
      <c r="J7" s="155">
        <v>-1885371</v>
      </c>
      <c r="K7" s="155">
        <f>+K8+K9</f>
        <v>-1961618</v>
      </c>
      <c r="L7" s="155">
        <f t="shared" ref="L7:X7" si="2">+L8+L9</f>
        <v>-2075906</v>
      </c>
      <c r="M7" s="155">
        <f t="shared" si="2"/>
        <v>-2248209</v>
      </c>
      <c r="N7" s="155">
        <f t="shared" si="2"/>
        <v>-2310073</v>
      </c>
      <c r="O7" s="155">
        <f t="shared" si="2"/>
        <v>-2372635</v>
      </c>
      <c r="P7" s="155">
        <f t="shared" si="2"/>
        <v>-2313249</v>
      </c>
      <c r="Q7" s="155">
        <f t="shared" si="2"/>
        <v>-2329123</v>
      </c>
      <c r="R7" s="155">
        <f t="shared" si="2"/>
        <v>-2437074</v>
      </c>
      <c r="S7" s="155">
        <f t="shared" si="2"/>
        <v>-2374246</v>
      </c>
      <c r="T7" s="155">
        <f t="shared" si="2"/>
        <v>-2419730</v>
      </c>
      <c r="U7" s="155">
        <f t="shared" si="2"/>
        <v>-2332828</v>
      </c>
      <c r="V7" s="155">
        <f t="shared" si="2"/>
        <v>-2495048</v>
      </c>
      <c r="W7" s="155">
        <f t="shared" si="2"/>
        <v>-2420809</v>
      </c>
      <c r="X7" s="155">
        <f t="shared" si="2"/>
        <v>-2475603</v>
      </c>
      <c r="Y7" s="155">
        <f t="shared" ref="Y7:AF7" si="3">+Y8+Y9</f>
        <v>-2495114</v>
      </c>
      <c r="Z7" s="155">
        <f t="shared" si="3"/>
        <v>-2560086</v>
      </c>
      <c r="AA7" s="155">
        <f t="shared" si="3"/>
        <v>-2496554</v>
      </c>
      <c r="AB7" s="155">
        <f t="shared" si="3"/>
        <v>-2578711</v>
      </c>
      <c r="AC7" s="155">
        <f t="shared" si="3"/>
        <v>-2587420</v>
      </c>
      <c r="AD7" s="155">
        <f t="shared" si="3"/>
        <v>-2596119</v>
      </c>
      <c r="AE7" s="155">
        <f t="shared" si="3"/>
        <v>-2503446</v>
      </c>
      <c r="AF7" s="155">
        <f t="shared" si="3"/>
        <v>-2555971</v>
      </c>
      <c r="AG7" s="159"/>
      <c r="AH7" s="146"/>
      <c r="AI7" s="146"/>
    </row>
    <row r="8" spans="1:35" ht="12.5" thickBot="1">
      <c r="A8" s="139" t="s">
        <v>434</v>
      </c>
      <c r="B8" s="139" t="s">
        <v>435</v>
      </c>
      <c r="C8" s="156">
        <v>-1315256</v>
      </c>
      <c r="D8" s="156">
        <v>-1355376</v>
      </c>
      <c r="E8" s="156">
        <v>-1387230</v>
      </c>
      <c r="F8" s="156">
        <v>-1373500</v>
      </c>
      <c r="G8" s="156">
        <v>-1341843</v>
      </c>
      <c r="H8" s="156">
        <v>-1312004</v>
      </c>
      <c r="I8" s="156">
        <v>-1315977</v>
      </c>
      <c r="J8" s="156">
        <v>-1394250</v>
      </c>
      <c r="K8" s="156">
        <v>-1500216</v>
      </c>
      <c r="L8" s="156">
        <v>-1602824</v>
      </c>
      <c r="M8" s="156">
        <v>-1707335</v>
      </c>
      <c r="N8" s="156">
        <v>-1720847</v>
      </c>
      <c r="O8" s="156">
        <v>-1777137</v>
      </c>
      <c r="P8" s="156">
        <v>-1760896</v>
      </c>
      <c r="Q8" s="156">
        <v>-1775614</v>
      </c>
      <c r="R8" s="156">
        <v>-1831446</v>
      </c>
      <c r="S8" s="156">
        <v>-1799716</v>
      </c>
      <c r="T8" s="156">
        <v>-1865039</v>
      </c>
      <c r="U8" s="156">
        <v>-1765623</v>
      </c>
      <c r="V8" s="156">
        <v>-1795189</v>
      </c>
      <c r="W8" s="156">
        <v>-1684474</v>
      </c>
      <c r="X8" s="156">
        <v>-1741781</v>
      </c>
      <c r="Y8" s="156">
        <v>-1734030</v>
      </c>
      <c r="Z8" s="156">
        <v>-1814543</v>
      </c>
      <c r="AA8" s="156">
        <v>-1746181</v>
      </c>
      <c r="AB8" s="156">
        <v>-1866571</v>
      </c>
      <c r="AC8" s="156">
        <v>-1864879</v>
      </c>
      <c r="AD8" s="156">
        <v>-1916843</v>
      </c>
      <c r="AE8" s="156">
        <v>-1859971</v>
      </c>
      <c r="AF8" s="156">
        <v>-1907936</v>
      </c>
      <c r="AG8" s="159"/>
      <c r="AH8" s="146"/>
      <c r="AI8" s="146"/>
    </row>
    <row r="9" spans="1:35" ht="12.5" thickBot="1">
      <c r="A9" s="141" t="s">
        <v>466</v>
      </c>
      <c r="B9" s="141" t="s">
        <v>436</v>
      </c>
      <c r="C9" s="156">
        <v>-181972</v>
      </c>
      <c r="D9" s="156">
        <v>-408237</v>
      </c>
      <c r="E9" s="156">
        <v>-418086</v>
      </c>
      <c r="F9" s="156">
        <v>-407337</v>
      </c>
      <c r="G9" s="156">
        <v>-417024</v>
      </c>
      <c r="H9" s="156">
        <v>-418584</v>
      </c>
      <c r="I9" s="156">
        <v>-481651</v>
      </c>
      <c r="J9" s="156">
        <v>-491121</v>
      </c>
      <c r="K9" s="156">
        <v>-461402</v>
      </c>
      <c r="L9" s="156">
        <v>-473082</v>
      </c>
      <c r="M9" s="156">
        <v>-540874</v>
      </c>
      <c r="N9" s="156">
        <v>-589226</v>
      </c>
      <c r="O9" s="156">
        <v>-595498</v>
      </c>
      <c r="P9" s="156">
        <v>-552353</v>
      </c>
      <c r="Q9" s="156">
        <v>-553509</v>
      </c>
      <c r="R9" s="156">
        <v>-605628</v>
      </c>
      <c r="S9" s="156">
        <v>-574530</v>
      </c>
      <c r="T9" s="156">
        <v>-554691</v>
      </c>
      <c r="U9" s="156">
        <v>-567205</v>
      </c>
      <c r="V9" s="156">
        <v>-699859</v>
      </c>
      <c r="W9" s="156">
        <v>-736335</v>
      </c>
      <c r="X9" s="156">
        <v>-733822</v>
      </c>
      <c r="Y9" s="156">
        <v>-761084</v>
      </c>
      <c r="Z9" s="156">
        <v>-745543</v>
      </c>
      <c r="AA9" s="156">
        <v>-750373</v>
      </c>
      <c r="AB9" s="156">
        <v>-712140</v>
      </c>
      <c r="AC9" s="156">
        <v>-722541</v>
      </c>
      <c r="AD9" s="156">
        <v>-679276</v>
      </c>
      <c r="AE9" s="156">
        <v>-643475</v>
      </c>
      <c r="AF9" s="156">
        <v>-648035</v>
      </c>
      <c r="AG9" s="159"/>
      <c r="AH9" s="146"/>
      <c r="AI9" s="146"/>
    </row>
    <row r="10" spans="1:35">
      <c r="A10" s="142" t="s">
        <v>437</v>
      </c>
      <c r="B10" s="142" t="s">
        <v>438</v>
      </c>
      <c r="C10" s="157">
        <v>47411078</v>
      </c>
      <c r="D10" s="157">
        <v>46894753</v>
      </c>
      <c r="E10" s="157">
        <v>49101966</v>
      </c>
      <c r="F10" s="157">
        <v>49722559</v>
      </c>
      <c r="G10" s="157">
        <v>51461155</v>
      </c>
      <c r="H10" s="157">
        <v>52698865</v>
      </c>
      <c r="I10" s="157">
        <v>66513785</v>
      </c>
      <c r="J10" s="157">
        <v>68045446</v>
      </c>
      <c r="K10" s="157">
        <f>+K7+K4</f>
        <v>68043472</v>
      </c>
      <c r="L10" s="157">
        <f t="shared" ref="L10:X10" si="4">+L7+L4</f>
        <v>70496346</v>
      </c>
      <c r="M10" s="157">
        <f t="shared" si="4"/>
        <v>69858611</v>
      </c>
      <c r="N10" s="157">
        <f t="shared" si="4"/>
        <v>70834719</v>
      </c>
      <c r="O10" s="157">
        <f t="shared" si="4"/>
        <v>72023589</v>
      </c>
      <c r="P10" s="157">
        <f t="shared" si="4"/>
        <v>73003267</v>
      </c>
      <c r="Q10" s="157">
        <f t="shared" si="4"/>
        <v>74122632</v>
      </c>
      <c r="R10" s="157">
        <f t="shared" si="4"/>
        <v>76781899</v>
      </c>
      <c r="S10" s="157">
        <f t="shared" si="4"/>
        <v>78240334</v>
      </c>
      <c r="T10" s="157">
        <f t="shared" si="4"/>
        <v>78405884</v>
      </c>
      <c r="U10" s="157">
        <f t="shared" si="4"/>
        <v>79152044</v>
      </c>
      <c r="V10" s="157">
        <f t="shared" si="4"/>
        <v>78830373</v>
      </c>
      <c r="W10" s="157">
        <f t="shared" si="4"/>
        <v>76467181</v>
      </c>
      <c r="X10" s="157">
        <f t="shared" si="4"/>
        <v>75305192</v>
      </c>
      <c r="Y10" s="157">
        <f t="shared" ref="Y10:AF10" si="5">+Y7+Y4</f>
        <v>74097290</v>
      </c>
      <c r="Z10" s="157">
        <f t="shared" si="5"/>
        <v>73959708</v>
      </c>
      <c r="AA10" s="157">
        <f t="shared" si="5"/>
        <v>73623711</v>
      </c>
      <c r="AB10" s="157">
        <f t="shared" si="5"/>
        <v>73903451</v>
      </c>
      <c r="AC10" s="157">
        <f t="shared" si="5"/>
        <v>74639295</v>
      </c>
      <c r="AD10" s="157">
        <f t="shared" si="5"/>
        <v>75537577</v>
      </c>
      <c r="AE10" s="157">
        <f t="shared" si="5"/>
        <v>74979390</v>
      </c>
      <c r="AF10" s="157">
        <f t="shared" si="5"/>
        <v>74539433</v>
      </c>
      <c r="AH10" s="146"/>
      <c r="AI10" s="146"/>
    </row>
    <row r="11" spans="1:35">
      <c r="A11" s="134"/>
      <c r="B11" s="134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H11" s="146"/>
    </row>
    <row r="12" spans="1:35">
      <c r="A12" s="135" t="s">
        <v>439</v>
      </c>
      <c r="B12" s="134"/>
      <c r="C12" s="158"/>
      <c r="D12" s="158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</row>
    <row r="13" spans="1:35">
      <c r="A13" s="135" t="s">
        <v>440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</row>
    <row r="14" spans="1:35" ht="12.5" thickBot="1">
      <c r="A14" s="140" t="s">
        <v>426</v>
      </c>
      <c r="B14" s="140" t="s">
        <v>427</v>
      </c>
      <c r="C14" s="160">
        <v>48908306</v>
      </c>
      <c r="D14" s="160">
        <v>48658366</v>
      </c>
      <c r="E14" s="160">
        <v>50907282</v>
      </c>
      <c r="F14" s="160">
        <v>51503396</v>
      </c>
      <c r="G14" s="160">
        <v>53220022</v>
      </c>
      <c r="H14" s="160">
        <v>54429453</v>
      </c>
      <c r="I14" s="160">
        <v>68311413</v>
      </c>
      <c r="J14" s="160">
        <v>69930817</v>
      </c>
      <c r="K14" s="160">
        <f>+K15+K16</f>
        <v>70005090</v>
      </c>
      <c r="L14" s="160">
        <f t="shared" ref="L14:X14" si="6">+L15+L16</f>
        <v>72572252</v>
      </c>
      <c r="M14" s="160">
        <f t="shared" si="6"/>
        <v>72106820</v>
      </c>
      <c r="N14" s="160">
        <f t="shared" si="6"/>
        <v>73144792</v>
      </c>
      <c r="O14" s="160">
        <f t="shared" si="6"/>
        <v>74396224</v>
      </c>
      <c r="P14" s="160">
        <f t="shared" si="6"/>
        <v>75316516</v>
      </c>
      <c r="Q14" s="160">
        <f t="shared" si="6"/>
        <v>76451755</v>
      </c>
      <c r="R14" s="160">
        <f t="shared" si="6"/>
        <v>79218973</v>
      </c>
      <c r="S14" s="160">
        <f t="shared" si="6"/>
        <v>80614580</v>
      </c>
      <c r="T14" s="160">
        <f t="shared" si="6"/>
        <v>80825614</v>
      </c>
      <c r="U14" s="160">
        <f t="shared" si="6"/>
        <v>81484872</v>
      </c>
      <c r="V14" s="160">
        <f t="shared" si="6"/>
        <v>81325421</v>
      </c>
      <c r="W14" s="160">
        <f t="shared" si="6"/>
        <v>78887990</v>
      </c>
      <c r="X14" s="160">
        <f t="shared" si="6"/>
        <v>77780795</v>
      </c>
      <c r="Y14" s="160">
        <f t="shared" ref="Y14:AF14" si="7">+Y15+Y16</f>
        <v>76592404</v>
      </c>
      <c r="Z14" s="160">
        <f t="shared" si="7"/>
        <v>76519794</v>
      </c>
      <c r="AA14" s="160">
        <f t="shared" si="7"/>
        <v>76120265</v>
      </c>
      <c r="AB14" s="160">
        <f t="shared" si="7"/>
        <v>76482162</v>
      </c>
      <c r="AC14" s="160">
        <f t="shared" si="7"/>
        <v>77226715</v>
      </c>
      <c r="AD14" s="160">
        <f t="shared" si="7"/>
        <v>78133696</v>
      </c>
      <c r="AE14" s="160">
        <f t="shared" si="7"/>
        <v>77482836</v>
      </c>
      <c r="AF14" s="160">
        <f t="shared" si="7"/>
        <v>77095404</v>
      </c>
      <c r="AH14" s="146"/>
      <c r="AI14" s="146"/>
    </row>
    <row r="15" spans="1:35" ht="12.5" thickBot="1">
      <c r="A15" s="139" t="s">
        <v>441</v>
      </c>
      <c r="B15" s="139" t="s">
        <v>442</v>
      </c>
      <c r="C15" s="154">
        <v>721524</v>
      </c>
      <c r="D15" s="154">
        <v>758877</v>
      </c>
      <c r="E15" s="154">
        <v>734322</v>
      </c>
      <c r="F15" s="154">
        <v>746632</v>
      </c>
      <c r="G15" s="154">
        <v>754950</v>
      </c>
      <c r="H15" s="154">
        <v>799625</v>
      </c>
      <c r="I15" s="154">
        <v>753528</v>
      </c>
      <c r="J15" s="154">
        <v>808414</v>
      </c>
      <c r="K15" s="154">
        <v>832630</v>
      </c>
      <c r="L15" s="154">
        <v>873253</v>
      </c>
      <c r="M15" s="154">
        <v>859130</v>
      </c>
      <c r="N15" s="154">
        <v>817933</v>
      </c>
      <c r="O15" s="154">
        <v>1015366</v>
      </c>
      <c r="P15" s="154">
        <v>935477</v>
      </c>
      <c r="Q15" s="154">
        <v>823253</v>
      </c>
      <c r="R15" s="154">
        <v>811129</v>
      </c>
      <c r="S15" s="154">
        <v>820462</v>
      </c>
      <c r="T15" s="154">
        <v>795046</v>
      </c>
      <c r="U15" s="154">
        <v>768339</v>
      </c>
      <c r="V15" s="154">
        <v>693229</v>
      </c>
      <c r="W15" s="154">
        <v>501115</v>
      </c>
      <c r="X15" s="154">
        <v>548139</v>
      </c>
      <c r="Y15" s="154">
        <v>529400</v>
      </c>
      <c r="Z15" s="154">
        <v>521612</v>
      </c>
      <c r="AA15" s="154">
        <v>493162</v>
      </c>
      <c r="AB15" s="154">
        <v>491520</v>
      </c>
      <c r="AC15" s="154">
        <v>533583</v>
      </c>
      <c r="AD15" s="154">
        <v>673778</v>
      </c>
      <c r="AE15" s="154">
        <v>642481</v>
      </c>
      <c r="AF15" s="154">
        <v>607427</v>
      </c>
      <c r="AH15" s="146"/>
      <c r="AI15" s="146"/>
    </row>
    <row r="16" spans="1:35" ht="12.5" thickBot="1">
      <c r="A16" s="139" t="s">
        <v>443</v>
      </c>
      <c r="B16" s="139" t="s">
        <v>444</v>
      </c>
      <c r="C16" s="154">
        <v>48186782</v>
      </c>
      <c r="D16" s="154">
        <v>47899489</v>
      </c>
      <c r="E16" s="154">
        <v>50172961</v>
      </c>
      <c r="F16" s="154">
        <v>50756764</v>
      </c>
      <c r="G16" s="154">
        <v>52465072</v>
      </c>
      <c r="H16" s="154">
        <v>53629828</v>
      </c>
      <c r="I16" s="154">
        <v>67557885</v>
      </c>
      <c r="J16" s="154">
        <v>69122403</v>
      </c>
      <c r="K16" s="154">
        <v>69172460</v>
      </c>
      <c r="L16" s="154">
        <v>71698999</v>
      </c>
      <c r="M16" s="154">
        <v>71247690</v>
      </c>
      <c r="N16" s="154">
        <v>72326859</v>
      </c>
      <c r="O16" s="154">
        <v>73380858</v>
      </c>
      <c r="P16" s="154">
        <v>74381039</v>
      </c>
      <c r="Q16" s="154">
        <v>75628502</v>
      </c>
      <c r="R16" s="154">
        <v>78407844</v>
      </c>
      <c r="S16" s="154">
        <v>79794118</v>
      </c>
      <c r="T16" s="154">
        <v>80030568</v>
      </c>
      <c r="U16" s="154">
        <v>80716533</v>
      </c>
      <c r="V16" s="154">
        <v>80632192</v>
      </c>
      <c r="W16" s="154">
        <v>78386875</v>
      </c>
      <c r="X16" s="154">
        <v>77232656</v>
      </c>
      <c r="Y16" s="154">
        <v>76063004</v>
      </c>
      <c r="Z16" s="154">
        <v>75998182</v>
      </c>
      <c r="AA16" s="154">
        <v>75627103</v>
      </c>
      <c r="AB16" s="154">
        <v>75990642</v>
      </c>
      <c r="AC16" s="154">
        <v>76693132</v>
      </c>
      <c r="AD16" s="154">
        <v>77459918</v>
      </c>
      <c r="AE16" s="154">
        <v>76840355</v>
      </c>
      <c r="AF16" s="154">
        <v>76487977</v>
      </c>
      <c r="AH16" s="146"/>
      <c r="AI16" s="146"/>
    </row>
    <row r="17" spans="1:35" ht="12.5" thickBot="1">
      <c r="A17" s="144" t="s">
        <v>445</v>
      </c>
      <c r="B17" s="144" t="s">
        <v>433</v>
      </c>
      <c r="C17" s="155">
        <v>-1497228</v>
      </c>
      <c r="D17" s="155">
        <v>-1763613</v>
      </c>
      <c r="E17" s="155">
        <v>-1805316</v>
      </c>
      <c r="F17" s="155">
        <v>-1780837</v>
      </c>
      <c r="G17" s="155">
        <v>-1758867</v>
      </c>
      <c r="H17" s="155">
        <v>-1730588</v>
      </c>
      <c r="I17" s="155">
        <v>-1797628</v>
      </c>
      <c r="J17" s="155">
        <v>-1885371</v>
      </c>
      <c r="K17" s="155">
        <f>+K18+K19</f>
        <v>-1961618</v>
      </c>
      <c r="L17" s="155">
        <f t="shared" ref="L17:X17" si="8">+L18+L19</f>
        <v>-2075906</v>
      </c>
      <c r="M17" s="155">
        <f t="shared" si="8"/>
        <v>-2248209</v>
      </c>
      <c r="N17" s="155">
        <f t="shared" si="8"/>
        <v>-2310073</v>
      </c>
      <c r="O17" s="155">
        <f t="shared" si="8"/>
        <v>-2372635</v>
      </c>
      <c r="P17" s="155">
        <f t="shared" si="8"/>
        <v>-2313249</v>
      </c>
      <c r="Q17" s="155">
        <f t="shared" si="8"/>
        <v>-2329123</v>
      </c>
      <c r="R17" s="155">
        <f t="shared" si="8"/>
        <v>-2437075</v>
      </c>
      <c r="S17" s="155">
        <f t="shared" si="8"/>
        <v>-2374246</v>
      </c>
      <c r="T17" s="155">
        <f t="shared" si="8"/>
        <v>-2419730</v>
      </c>
      <c r="U17" s="155">
        <f t="shared" si="8"/>
        <v>-2332828</v>
      </c>
      <c r="V17" s="155">
        <f t="shared" si="8"/>
        <v>-2495048</v>
      </c>
      <c r="W17" s="155">
        <f t="shared" si="8"/>
        <v>-2420809</v>
      </c>
      <c r="X17" s="155">
        <f t="shared" si="8"/>
        <v>-2475603</v>
      </c>
      <c r="Y17" s="155">
        <f t="shared" ref="Y17:AF17" si="9">+Y18+Y19</f>
        <v>-2495114</v>
      </c>
      <c r="Z17" s="155">
        <f t="shared" si="9"/>
        <v>-2560086</v>
      </c>
      <c r="AA17" s="155">
        <f t="shared" si="9"/>
        <v>-2496554</v>
      </c>
      <c r="AB17" s="155">
        <f t="shared" si="9"/>
        <v>-2578711</v>
      </c>
      <c r="AC17" s="155">
        <f t="shared" si="9"/>
        <v>-2587420</v>
      </c>
      <c r="AD17" s="155">
        <f t="shared" si="9"/>
        <v>-2596119</v>
      </c>
      <c r="AE17" s="155">
        <f t="shared" si="9"/>
        <v>-2503446</v>
      </c>
      <c r="AF17" s="155">
        <f t="shared" si="9"/>
        <v>-2555971</v>
      </c>
      <c r="AH17" s="146"/>
      <c r="AI17" s="146"/>
    </row>
    <row r="18" spans="1:35" ht="12.5" thickBot="1">
      <c r="A18" s="141" t="s">
        <v>446</v>
      </c>
      <c r="B18" s="141" t="s">
        <v>447</v>
      </c>
      <c r="C18" s="156">
        <v>-410445</v>
      </c>
      <c r="D18" s="156">
        <v>-390499</v>
      </c>
      <c r="E18" s="156">
        <v>-374651</v>
      </c>
      <c r="F18" s="156">
        <v>-380161</v>
      </c>
      <c r="G18" s="156">
        <v>-382327</v>
      </c>
      <c r="H18" s="156">
        <v>-397314</v>
      </c>
      <c r="I18" s="156">
        <v>-360633</v>
      </c>
      <c r="J18" s="156">
        <v>-356988</v>
      </c>
      <c r="K18" s="156">
        <v>-348300</v>
      </c>
      <c r="L18" s="156">
        <v>-352566</v>
      </c>
      <c r="M18" s="156">
        <v>-368829</v>
      </c>
      <c r="N18" s="156">
        <v>-337065</v>
      </c>
      <c r="O18" s="156">
        <v>-362318</v>
      </c>
      <c r="P18" s="156">
        <v>-288902</v>
      </c>
      <c r="Q18" s="156">
        <v>-266868</v>
      </c>
      <c r="R18" s="156">
        <v>-249539</v>
      </c>
      <c r="S18" s="156">
        <v>-261290</v>
      </c>
      <c r="T18" s="156">
        <v>-262080</v>
      </c>
      <c r="U18" s="156">
        <v>-255761</v>
      </c>
      <c r="V18" s="156">
        <v>-224612</v>
      </c>
      <c r="W18" s="156">
        <v>-168105</v>
      </c>
      <c r="X18" s="156">
        <v>-171817</v>
      </c>
      <c r="Y18" s="156">
        <v>-175904</v>
      </c>
      <c r="Z18" s="156">
        <v>-176815</v>
      </c>
      <c r="AA18" s="156">
        <v>-150724</v>
      </c>
      <c r="AB18" s="156">
        <v>-161402</v>
      </c>
      <c r="AC18" s="156">
        <v>-168667</v>
      </c>
      <c r="AD18" s="156">
        <v>-210300</v>
      </c>
      <c r="AE18" s="156">
        <v>-212925</v>
      </c>
      <c r="AF18" s="156">
        <v>-188939</v>
      </c>
      <c r="AH18" s="146"/>
      <c r="AI18" s="146"/>
    </row>
    <row r="19" spans="1:35" ht="12.5" thickBot="1">
      <c r="A19" s="139" t="s">
        <v>448</v>
      </c>
      <c r="B19" s="139" t="s">
        <v>449</v>
      </c>
      <c r="C19" s="156">
        <v>-1086783</v>
      </c>
      <c r="D19" s="156">
        <v>-1373114</v>
      </c>
      <c r="E19" s="156">
        <v>-1430665</v>
      </c>
      <c r="F19" s="156">
        <v>-1400676</v>
      </c>
      <c r="G19" s="156">
        <v>-1376540</v>
      </c>
      <c r="H19" s="156">
        <v>-1333274</v>
      </c>
      <c r="I19" s="156">
        <v>-1436995</v>
      </c>
      <c r="J19" s="156">
        <v>-1528383</v>
      </c>
      <c r="K19" s="156">
        <v>-1613318</v>
      </c>
      <c r="L19" s="156">
        <v>-1723340</v>
      </c>
      <c r="M19" s="156">
        <v>-1879380</v>
      </c>
      <c r="N19" s="156">
        <v>-1973008</v>
      </c>
      <c r="O19" s="156">
        <v>-2010317</v>
      </c>
      <c r="P19" s="156">
        <v>-2024347</v>
      </c>
      <c r="Q19" s="156">
        <v>-2062255</v>
      </c>
      <c r="R19" s="156">
        <v>-2187536</v>
      </c>
      <c r="S19" s="156">
        <v>-2112956</v>
      </c>
      <c r="T19" s="156">
        <v>-2157650</v>
      </c>
      <c r="U19" s="156">
        <v>-2077067</v>
      </c>
      <c r="V19" s="156">
        <v>-2270436</v>
      </c>
      <c r="W19" s="156">
        <v>-2252704</v>
      </c>
      <c r="X19" s="156">
        <v>-2303786</v>
      </c>
      <c r="Y19" s="156">
        <v>-2319210</v>
      </c>
      <c r="Z19" s="156">
        <v>-2383271</v>
      </c>
      <c r="AA19" s="156">
        <v>-2345830</v>
      </c>
      <c r="AB19" s="156">
        <v>-2417309</v>
      </c>
      <c r="AC19" s="156">
        <v>-2418753</v>
      </c>
      <c r="AD19" s="156">
        <v>-2385819</v>
      </c>
      <c r="AE19" s="156">
        <v>-2290521</v>
      </c>
      <c r="AF19" s="156">
        <v>-2367032</v>
      </c>
      <c r="AH19" s="146"/>
      <c r="AI19" s="146"/>
    </row>
    <row r="20" spans="1:35" ht="12.5" thickBot="1">
      <c r="A20" s="145" t="s">
        <v>437</v>
      </c>
      <c r="B20" s="145" t="s">
        <v>438</v>
      </c>
      <c r="C20" s="161">
        <v>47411078</v>
      </c>
      <c r="D20" s="161">
        <v>46894754</v>
      </c>
      <c r="E20" s="161">
        <v>49101966</v>
      </c>
      <c r="F20" s="161">
        <v>49722559</v>
      </c>
      <c r="G20" s="161">
        <v>51461155</v>
      </c>
      <c r="H20" s="161">
        <v>52698865</v>
      </c>
      <c r="I20" s="161">
        <v>66513785</v>
      </c>
      <c r="J20" s="161">
        <v>68045446</v>
      </c>
      <c r="K20" s="161">
        <f>+K17+K14</f>
        <v>68043472</v>
      </c>
      <c r="L20" s="161">
        <f t="shared" ref="L20:X20" si="10">+L17+L14</f>
        <v>70496346</v>
      </c>
      <c r="M20" s="161">
        <f t="shared" si="10"/>
        <v>69858611</v>
      </c>
      <c r="N20" s="161">
        <f t="shared" si="10"/>
        <v>70834719</v>
      </c>
      <c r="O20" s="161">
        <f t="shared" si="10"/>
        <v>72023589</v>
      </c>
      <c r="P20" s="161">
        <f t="shared" si="10"/>
        <v>73003267</v>
      </c>
      <c r="Q20" s="161">
        <f t="shared" si="10"/>
        <v>74122632</v>
      </c>
      <c r="R20" s="161">
        <f t="shared" si="10"/>
        <v>76781898</v>
      </c>
      <c r="S20" s="161">
        <f t="shared" si="10"/>
        <v>78240334</v>
      </c>
      <c r="T20" s="161">
        <f t="shared" si="10"/>
        <v>78405884</v>
      </c>
      <c r="U20" s="161">
        <f t="shared" si="10"/>
        <v>79152044</v>
      </c>
      <c r="V20" s="161">
        <f t="shared" si="10"/>
        <v>78830373</v>
      </c>
      <c r="W20" s="161">
        <f t="shared" si="10"/>
        <v>76467181</v>
      </c>
      <c r="X20" s="161">
        <f t="shared" si="10"/>
        <v>75305192</v>
      </c>
      <c r="Y20" s="161">
        <f t="shared" ref="Y20:AF20" si="11">+Y17+Y14</f>
        <v>74097290</v>
      </c>
      <c r="Z20" s="161">
        <f t="shared" si="11"/>
        <v>73959708</v>
      </c>
      <c r="AA20" s="161">
        <f t="shared" si="11"/>
        <v>73623711</v>
      </c>
      <c r="AB20" s="161">
        <f t="shared" si="11"/>
        <v>73903451</v>
      </c>
      <c r="AC20" s="161">
        <f t="shared" si="11"/>
        <v>74639295</v>
      </c>
      <c r="AD20" s="161">
        <f t="shared" si="11"/>
        <v>75537577</v>
      </c>
      <c r="AE20" s="161">
        <f t="shared" si="11"/>
        <v>74979390</v>
      </c>
      <c r="AF20" s="161">
        <f t="shared" si="11"/>
        <v>74539433</v>
      </c>
      <c r="AH20" s="146"/>
      <c r="AI20" s="146"/>
    </row>
    <row r="21" spans="1:35"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</row>
    <row r="22" spans="1:35">
      <c r="A22" s="135" t="s">
        <v>450</v>
      </c>
      <c r="B22" s="146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</row>
    <row r="23" spans="1:35">
      <c r="A23" s="135" t="s">
        <v>451</v>
      </c>
      <c r="B23" s="146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</row>
    <row r="24" spans="1:35">
      <c r="A24" s="136"/>
      <c r="B24" s="136"/>
      <c r="C24" s="162" t="s">
        <v>191</v>
      </c>
      <c r="D24" s="162" t="s">
        <v>221</v>
      </c>
      <c r="E24" s="162" t="s">
        <v>264</v>
      </c>
      <c r="F24" s="162" t="s">
        <v>301</v>
      </c>
      <c r="G24" s="162" t="s">
        <v>304</v>
      </c>
      <c r="H24" s="162" t="s">
        <v>308</v>
      </c>
      <c r="I24" s="162" t="s">
        <v>319</v>
      </c>
      <c r="J24" s="162" t="s">
        <v>324</v>
      </c>
      <c r="K24" s="162" t="s">
        <v>330</v>
      </c>
      <c r="L24" s="162" t="str">
        <f>L3</f>
        <v>31.03.2020</v>
      </c>
      <c r="M24" s="162" t="str">
        <f>M3</f>
        <v>30.06.2020</v>
      </c>
      <c r="N24" s="162" t="s">
        <v>474</v>
      </c>
      <c r="O24" s="162" t="s">
        <v>481</v>
      </c>
      <c r="P24" s="162" t="s">
        <v>490</v>
      </c>
      <c r="Q24" s="162" t="s">
        <v>503</v>
      </c>
      <c r="R24" s="162" t="s">
        <v>507</v>
      </c>
      <c r="S24" s="162" t="s">
        <v>512</v>
      </c>
      <c r="T24" s="162" t="s">
        <v>516</v>
      </c>
      <c r="U24" s="162" t="s">
        <v>519</v>
      </c>
      <c r="V24" s="162" t="s">
        <v>524</v>
      </c>
      <c r="W24" s="162" t="s">
        <v>542</v>
      </c>
      <c r="X24" s="162" t="s">
        <v>548</v>
      </c>
      <c r="Y24" s="162" t="s">
        <v>650</v>
      </c>
      <c r="Z24" s="162" t="s">
        <v>653</v>
      </c>
      <c r="AA24" s="162" t="s">
        <v>663</v>
      </c>
      <c r="AB24" s="137" t="s">
        <v>667</v>
      </c>
      <c r="AC24" s="137" t="s">
        <v>674</v>
      </c>
      <c r="AD24" s="137" t="s">
        <v>677</v>
      </c>
      <c r="AE24" s="137" t="s">
        <v>684</v>
      </c>
      <c r="AF24" s="137" t="s">
        <v>691</v>
      </c>
    </row>
    <row r="25" spans="1:35" ht="24.5" thickBot="1">
      <c r="A25" s="144" t="s">
        <v>467</v>
      </c>
      <c r="B25" s="144" t="s">
        <v>468</v>
      </c>
      <c r="C25" s="165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</row>
    <row r="26" spans="1:35" ht="12.5" thickBot="1">
      <c r="A26" s="141" t="s">
        <v>452</v>
      </c>
      <c r="B26" s="141" t="s">
        <v>453</v>
      </c>
      <c r="C26" s="165"/>
      <c r="D26" s="154">
        <v>13462398</v>
      </c>
      <c r="E26" s="154">
        <v>14438792</v>
      </c>
      <c r="F26" s="154">
        <v>14858781</v>
      </c>
      <c r="G26" s="154">
        <v>15816645</v>
      </c>
      <c r="H26" s="154">
        <v>16169108</v>
      </c>
      <c r="I26" s="154">
        <v>16430318</v>
      </c>
      <c r="J26" s="154">
        <v>16625642</v>
      </c>
      <c r="K26" s="154">
        <v>16922072</v>
      </c>
      <c r="L26" s="154">
        <v>17361087</v>
      </c>
      <c r="M26" s="154">
        <v>16538949</v>
      </c>
      <c r="N26" s="154">
        <v>16369837</v>
      </c>
      <c r="O26" s="154">
        <v>16415941</v>
      </c>
      <c r="P26" s="154">
        <v>15852308</v>
      </c>
      <c r="Q26" s="154">
        <v>17026279</v>
      </c>
      <c r="R26" s="154">
        <v>17387751</v>
      </c>
      <c r="S26" s="154">
        <v>17700784</v>
      </c>
      <c r="T26" s="154">
        <v>17650188</v>
      </c>
      <c r="U26" s="154">
        <v>18243744</v>
      </c>
      <c r="V26" s="154">
        <v>18532438</v>
      </c>
      <c r="W26" s="154">
        <v>16974090</v>
      </c>
      <c r="X26" s="154">
        <v>17069749</v>
      </c>
      <c r="Y26" s="154">
        <v>16427926</v>
      </c>
      <c r="Z26" s="154">
        <v>16017612</v>
      </c>
      <c r="AA26" s="154">
        <v>15616066.5</v>
      </c>
      <c r="AB26" s="154">
        <v>15980232</v>
      </c>
      <c r="AC26" s="154">
        <v>15933732</v>
      </c>
      <c r="AD26" s="154">
        <v>16063473</v>
      </c>
      <c r="AE26" s="154">
        <v>16140491</v>
      </c>
      <c r="AF26" s="154">
        <v>16400223.5</v>
      </c>
    </row>
    <row r="27" spans="1:35" ht="12.5" thickBot="1">
      <c r="A27" s="141" t="s">
        <v>454</v>
      </c>
      <c r="B27" s="141" t="s">
        <v>455</v>
      </c>
      <c r="C27" s="165"/>
      <c r="D27" s="154">
        <v>2027941</v>
      </c>
      <c r="E27" s="154">
        <v>1893411</v>
      </c>
      <c r="F27" s="154">
        <v>1545422</v>
      </c>
      <c r="G27" s="154">
        <v>1515844</v>
      </c>
      <c r="H27" s="154">
        <v>1601457</v>
      </c>
      <c r="I27" s="154">
        <v>1703716</v>
      </c>
      <c r="J27" s="154">
        <v>1452733</v>
      </c>
      <c r="K27" s="154">
        <v>1420472</v>
      </c>
      <c r="L27" s="154">
        <v>1390960</v>
      </c>
      <c r="M27" s="154">
        <v>1460442</v>
      </c>
      <c r="N27" s="154">
        <v>1523044</v>
      </c>
      <c r="O27" s="154">
        <v>1561333.9498000001</v>
      </c>
      <c r="P27" s="154">
        <v>2231234.9383300003</v>
      </c>
      <c r="Q27" s="154">
        <v>1359778.9638100001</v>
      </c>
      <c r="R27" s="154">
        <v>1247629</v>
      </c>
      <c r="S27" s="154">
        <v>1032373</v>
      </c>
      <c r="T27" s="154">
        <v>1212763</v>
      </c>
      <c r="U27" s="154">
        <v>1169665</v>
      </c>
      <c r="V27" s="154">
        <v>1339304</v>
      </c>
      <c r="W27" s="154">
        <v>1509665</v>
      </c>
      <c r="X27" s="154">
        <v>1499838</v>
      </c>
      <c r="Y27" s="154">
        <v>1477504</v>
      </c>
      <c r="Z27" s="154">
        <v>1504825</v>
      </c>
      <c r="AA27" s="154">
        <v>1303060.1214699999</v>
      </c>
      <c r="AB27" s="154">
        <v>1333051.1214699999</v>
      </c>
      <c r="AC27" s="154">
        <v>1490161.1214699999</v>
      </c>
      <c r="AD27" s="154">
        <v>1396814</v>
      </c>
      <c r="AE27" s="154">
        <v>1473389.6214699999</v>
      </c>
      <c r="AF27" s="154">
        <v>1534167</v>
      </c>
    </row>
    <row r="28" spans="1:35" ht="12.5" thickBot="1">
      <c r="A28" s="141" t="s">
        <v>456</v>
      </c>
      <c r="B28" s="141" t="s">
        <v>457</v>
      </c>
      <c r="C28" s="165"/>
      <c r="D28" s="154">
        <v>800598</v>
      </c>
      <c r="E28" s="154">
        <v>784046</v>
      </c>
      <c r="F28" s="154">
        <v>807587</v>
      </c>
      <c r="G28" s="154">
        <v>791348</v>
      </c>
      <c r="H28" s="154">
        <v>836316</v>
      </c>
      <c r="I28" s="154">
        <v>793164</v>
      </c>
      <c r="J28" s="154">
        <v>825435</v>
      </c>
      <c r="K28" s="154">
        <v>858434</v>
      </c>
      <c r="L28" s="154">
        <v>890773</v>
      </c>
      <c r="M28" s="154">
        <v>881052</v>
      </c>
      <c r="N28" s="154">
        <v>834908</v>
      </c>
      <c r="O28" s="154">
        <v>1031288.49676</v>
      </c>
      <c r="P28" s="154">
        <v>932925.49676000001</v>
      </c>
      <c r="Q28" s="154">
        <v>850674.49676000001</v>
      </c>
      <c r="R28" s="154">
        <v>818186.49676000001</v>
      </c>
      <c r="S28" s="154">
        <v>806708.49676000001</v>
      </c>
      <c r="T28" s="154">
        <v>847960.86436999997</v>
      </c>
      <c r="U28" s="154">
        <v>848946.86436999997</v>
      </c>
      <c r="V28" s="154">
        <v>818443.86436999997</v>
      </c>
      <c r="W28" s="154">
        <v>622466</v>
      </c>
      <c r="X28" s="154">
        <v>685792.11028999998</v>
      </c>
      <c r="Y28" s="154">
        <v>698123</v>
      </c>
      <c r="Z28" s="154">
        <v>715074.58623000002</v>
      </c>
      <c r="AA28" s="154">
        <v>707728.00985999999</v>
      </c>
      <c r="AB28" s="154">
        <v>732941.99121999997</v>
      </c>
      <c r="AC28" s="154">
        <v>772728.71089999995</v>
      </c>
      <c r="AD28" s="154">
        <v>941203</v>
      </c>
      <c r="AE28" s="154">
        <v>924662.29767</v>
      </c>
      <c r="AF28" s="154">
        <v>915000.94070000004</v>
      </c>
    </row>
    <row r="29" spans="1:35" ht="12.5" thickBot="1">
      <c r="A29" s="141" t="s">
        <v>458</v>
      </c>
      <c r="B29" s="141" t="s">
        <v>458</v>
      </c>
      <c r="C29" s="165"/>
      <c r="D29" s="154">
        <v>0</v>
      </c>
      <c r="E29" s="154">
        <v>0</v>
      </c>
      <c r="F29" s="154">
        <v>0</v>
      </c>
      <c r="G29" s="154">
        <v>139</v>
      </c>
      <c r="H29" s="154">
        <v>101</v>
      </c>
      <c r="I29" s="154">
        <v>101</v>
      </c>
      <c r="J29" s="154">
        <v>101</v>
      </c>
      <c r="K29" s="154">
        <v>101</v>
      </c>
      <c r="L29" s="154">
        <v>101</v>
      </c>
      <c r="M29" s="154">
        <v>101</v>
      </c>
      <c r="N29" s="154">
        <v>101</v>
      </c>
      <c r="O29" s="154">
        <v>58.553440000000101</v>
      </c>
      <c r="P29" s="154">
        <v>58.564910000000069</v>
      </c>
      <c r="Q29" s="154">
        <v>58.539430000000166</v>
      </c>
      <c r="R29" s="154">
        <v>58.503239999999927</v>
      </c>
      <c r="S29" s="154">
        <v>58.503240000000034</v>
      </c>
      <c r="T29" s="154">
        <v>58.135629999999978</v>
      </c>
      <c r="U29" s="154">
        <v>58.135629999999885</v>
      </c>
      <c r="V29" s="154">
        <v>58.135630000000035</v>
      </c>
      <c r="W29" s="154">
        <v>15216</v>
      </c>
      <c r="X29" s="154">
        <v>19592.889709999999</v>
      </c>
      <c r="Y29" s="154">
        <v>25563</v>
      </c>
      <c r="Z29" s="154">
        <v>25013.413770000003</v>
      </c>
      <c r="AA29" s="154">
        <v>23105.868670000003</v>
      </c>
      <c r="AB29" s="154">
        <v>17866.887310000002</v>
      </c>
      <c r="AC29" s="154">
        <v>16963.16763</v>
      </c>
      <c r="AD29" s="154">
        <v>16237</v>
      </c>
      <c r="AE29" s="154">
        <v>12565.580860000002</v>
      </c>
      <c r="AF29" s="154">
        <v>6554.0593000000035</v>
      </c>
    </row>
    <row r="30" spans="1:35">
      <c r="A30" s="147" t="s">
        <v>33</v>
      </c>
      <c r="B30" s="147" t="s">
        <v>459</v>
      </c>
      <c r="C30" s="166"/>
      <c r="D30" s="157">
        <v>16290937</v>
      </c>
      <c r="E30" s="157">
        <v>17116249</v>
      </c>
      <c r="F30" s="157">
        <v>17211790</v>
      </c>
      <c r="G30" s="157">
        <v>18123976</v>
      </c>
      <c r="H30" s="157">
        <v>18606982</v>
      </c>
      <c r="I30" s="157">
        <v>18927299</v>
      </c>
      <c r="J30" s="157">
        <v>18903911</v>
      </c>
      <c r="K30" s="157">
        <f t="shared" ref="K30:P30" si="12">SUM(K26:K29)</f>
        <v>19201079</v>
      </c>
      <c r="L30" s="157">
        <f t="shared" si="12"/>
        <v>19642921</v>
      </c>
      <c r="M30" s="157">
        <f t="shared" si="12"/>
        <v>18880544</v>
      </c>
      <c r="N30" s="157">
        <f t="shared" si="12"/>
        <v>18727890</v>
      </c>
      <c r="O30" s="157">
        <f t="shared" si="12"/>
        <v>19008622</v>
      </c>
      <c r="P30" s="157">
        <f t="shared" si="12"/>
        <v>19016527</v>
      </c>
      <c r="Q30" s="157">
        <f>SUM(Q26:Q29)</f>
        <v>19236791</v>
      </c>
      <c r="R30" s="157">
        <f>SUM(R26:R29)</f>
        <v>19453625</v>
      </c>
      <c r="S30" s="157">
        <f>SUM(S26:S29)</f>
        <v>19539924</v>
      </c>
      <c r="T30" s="157">
        <f>SUM(T26:T29)</f>
        <v>19710970</v>
      </c>
      <c r="U30" s="157">
        <f>SUM(U26:U29)</f>
        <v>20262414</v>
      </c>
      <c r="V30" s="157">
        <f t="shared" ref="V30:X30" si="13">SUM(V26:V29)</f>
        <v>20690244</v>
      </c>
      <c r="W30" s="157">
        <f t="shared" si="13"/>
        <v>19121437</v>
      </c>
      <c r="X30" s="157">
        <f t="shared" si="13"/>
        <v>19274972</v>
      </c>
      <c r="Y30" s="157">
        <f t="shared" ref="Y30:AF30" si="14">SUM(Y26:Y29)</f>
        <v>18629116</v>
      </c>
      <c r="Z30" s="157">
        <f t="shared" si="14"/>
        <v>18262525</v>
      </c>
      <c r="AA30" s="157">
        <f t="shared" si="14"/>
        <v>17649960.500000004</v>
      </c>
      <c r="AB30" s="157">
        <f t="shared" si="14"/>
        <v>18064092</v>
      </c>
      <c r="AC30" s="157">
        <f t="shared" si="14"/>
        <v>18213585</v>
      </c>
      <c r="AD30" s="157">
        <f t="shared" si="14"/>
        <v>18417727</v>
      </c>
      <c r="AE30" s="157">
        <f t="shared" si="14"/>
        <v>18551108.5</v>
      </c>
      <c r="AF30" s="157">
        <f t="shared" si="14"/>
        <v>18855945.5</v>
      </c>
    </row>
    <row r="31" spans="1:35"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</row>
    <row r="32" spans="1:35" ht="12.5" thickBot="1">
      <c r="A32" s="144" t="s">
        <v>460</v>
      </c>
      <c r="B32" s="144" t="s">
        <v>461</v>
      </c>
      <c r="C32" s="165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</row>
    <row r="33" spans="1:32" ht="12.5" thickBot="1">
      <c r="A33" s="141" t="s">
        <v>452</v>
      </c>
      <c r="B33" s="141" t="s">
        <v>453</v>
      </c>
      <c r="C33" s="165"/>
      <c r="D33" s="154">
        <v>-146850</v>
      </c>
      <c r="E33" s="154">
        <v>-162260</v>
      </c>
      <c r="F33" s="154">
        <v>-158550</v>
      </c>
      <c r="G33" s="154">
        <v>-159066</v>
      </c>
      <c r="H33" s="154">
        <v>-164091</v>
      </c>
      <c r="I33" s="154">
        <v>-162575</v>
      </c>
      <c r="J33" s="154">
        <v>-164380</v>
      </c>
      <c r="K33" s="154">
        <v>-135365</v>
      </c>
      <c r="L33" s="154">
        <v>-136538</v>
      </c>
      <c r="M33" s="154">
        <v>-141209</v>
      </c>
      <c r="N33" s="154">
        <v>-127072</v>
      </c>
      <c r="O33" s="154">
        <v>-119748</v>
      </c>
      <c r="P33" s="154">
        <v>-125917</v>
      </c>
      <c r="Q33" s="154">
        <v>-122181</v>
      </c>
      <c r="R33" s="154">
        <v>-128206</v>
      </c>
      <c r="S33" s="154">
        <v>-115981</v>
      </c>
      <c r="T33" s="154">
        <v>-104546</v>
      </c>
      <c r="U33" s="154">
        <v>-99708</v>
      </c>
      <c r="V33" s="154">
        <v>-108095</v>
      </c>
      <c r="W33" s="154">
        <v>-117530</v>
      </c>
      <c r="X33" s="154">
        <v>-105118</v>
      </c>
      <c r="Y33" s="154">
        <v>-113311</v>
      </c>
      <c r="Z33" s="154">
        <v>-96891</v>
      </c>
      <c r="AA33" s="154">
        <v>-104817</v>
      </c>
      <c r="AB33" s="154">
        <v>-110240</v>
      </c>
      <c r="AC33" s="154">
        <v>-116287</v>
      </c>
      <c r="AD33" s="154">
        <v>-107653</v>
      </c>
      <c r="AE33" s="154">
        <v>-143264</v>
      </c>
      <c r="AF33" s="154">
        <v>-145972</v>
      </c>
    </row>
    <row r="34" spans="1:32" ht="12.5" thickBot="1">
      <c r="A34" s="141" t="s">
        <v>454</v>
      </c>
      <c r="B34" s="141" t="s">
        <v>455</v>
      </c>
      <c r="C34" s="165"/>
      <c r="D34" s="154">
        <v>-86672</v>
      </c>
      <c r="E34" s="154">
        <v>-79485</v>
      </c>
      <c r="F34" s="154">
        <v>-73850</v>
      </c>
      <c r="G34" s="154">
        <v>-62920</v>
      </c>
      <c r="H34" s="154">
        <v>-61864</v>
      </c>
      <c r="I34" s="154">
        <v>-51542</v>
      </c>
      <c r="J34" s="154">
        <v>-46829</v>
      </c>
      <c r="K34" s="154">
        <v>-34301</v>
      </c>
      <c r="L34" s="154">
        <v>-34405</v>
      </c>
      <c r="M34" s="154">
        <v>-36171</v>
      </c>
      <c r="N34" s="154">
        <v>-43475</v>
      </c>
      <c r="O34" s="154">
        <v>-41409.937060000004</v>
      </c>
      <c r="P34" s="154">
        <v>-52316.915379999999</v>
      </c>
      <c r="Q34" s="154">
        <v>-50950.45779</v>
      </c>
      <c r="R34" s="154">
        <v>-48549</v>
      </c>
      <c r="S34" s="154">
        <v>-45876</v>
      </c>
      <c r="T34" s="154">
        <v>-50692</v>
      </c>
      <c r="U34" s="154">
        <v>-41998</v>
      </c>
      <c r="V34" s="154">
        <v>-56362</v>
      </c>
      <c r="W34" s="154">
        <v>-59369</v>
      </c>
      <c r="X34" s="154">
        <v>-71896</v>
      </c>
      <c r="Y34" s="154">
        <v>-75346</v>
      </c>
      <c r="Z34" s="154">
        <v>-53845</v>
      </c>
      <c r="AA34" s="154">
        <v>-42805.802510000001</v>
      </c>
      <c r="AB34" s="154">
        <v>-54239.744270000003</v>
      </c>
      <c r="AC34" s="154">
        <v>-52350.085879999999</v>
      </c>
      <c r="AD34" s="154">
        <v>-49141</v>
      </c>
      <c r="AE34" s="154">
        <v>-56039.369910000001</v>
      </c>
      <c r="AF34" s="154">
        <v>-65334</v>
      </c>
    </row>
    <row r="35" spans="1:32" ht="12.5" thickBot="1">
      <c r="A35" s="141" t="s">
        <v>456</v>
      </c>
      <c r="B35" s="141" t="s">
        <v>457</v>
      </c>
      <c r="C35" s="165"/>
      <c r="D35" s="154">
        <v>-459198</v>
      </c>
      <c r="E35" s="154">
        <v>-452456</v>
      </c>
      <c r="F35" s="154">
        <v>-459416</v>
      </c>
      <c r="G35" s="154">
        <v>-456314</v>
      </c>
      <c r="H35" s="154">
        <v>-462155</v>
      </c>
      <c r="I35" s="154">
        <v>-406064</v>
      </c>
      <c r="J35" s="154">
        <v>-409264</v>
      </c>
      <c r="K35" s="154">
        <v>-432938</v>
      </c>
      <c r="L35" s="154">
        <v>-437627</v>
      </c>
      <c r="M35" s="154">
        <v>-471387</v>
      </c>
      <c r="N35" s="154">
        <v>-449838</v>
      </c>
      <c r="O35" s="154">
        <v>-469813.86106999998</v>
      </c>
      <c r="P35" s="154">
        <v>-377454.61236999999</v>
      </c>
      <c r="Q35" s="154">
        <v>-360144.03444999998</v>
      </c>
      <c r="R35" s="154">
        <v>-326187.31566999998</v>
      </c>
      <c r="S35" s="154">
        <v>-320822.31566999998</v>
      </c>
      <c r="T35" s="154">
        <v>-336388.73736999999</v>
      </c>
      <c r="U35" s="154">
        <v>-335586.43312</v>
      </c>
      <c r="V35" s="154">
        <v>-321565.54511000001</v>
      </c>
      <c r="W35" s="154">
        <v>-238797</v>
      </c>
      <c r="X35" s="154">
        <v>-264284.2709</v>
      </c>
      <c r="Y35" s="154">
        <v>-282996</v>
      </c>
      <c r="Z35" s="154">
        <v>-279220.70513000002</v>
      </c>
      <c r="AA35" s="154">
        <v>-246392.08640999999</v>
      </c>
      <c r="AB35" s="154">
        <v>-260939.74121000001</v>
      </c>
      <c r="AC35" s="154">
        <v>-261157.20233999999</v>
      </c>
      <c r="AD35" s="154">
        <v>-312167</v>
      </c>
      <c r="AE35" s="154">
        <v>-305202.58348999999</v>
      </c>
      <c r="AF35" s="154">
        <v>-293721.99802</v>
      </c>
    </row>
    <row r="36" spans="1:32" ht="12.5" thickBot="1">
      <c r="A36" s="141" t="s">
        <v>458</v>
      </c>
      <c r="B36" s="141" t="s">
        <v>458</v>
      </c>
      <c r="C36" s="165"/>
      <c r="D36" s="154">
        <v>0</v>
      </c>
      <c r="E36" s="154">
        <v>0</v>
      </c>
      <c r="F36" s="154">
        <v>0</v>
      </c>
      <c r="G36" s="154">
        <v>130</v>
      </c>
      <c r="H36" s="154">
        <v>-23</v>
      </c>
      <c r="I36" s="154">
        <v>-23</v>
      </c>
      <c r="J36" s="154">
        <v>-23</v>
      </c>
      <c r="K36" s="154">
        <v>-23</v>
      </c>
      <c r="L36" s="154">
        <v>-23</v>
      </c>
      <c r="M36" s="154">
        <v>-23</v>
      </c>
      <c r="N36" s="154">
        <v>-23</v>
      </c>
      <c r="O36" s="154">
        <v>254.79812999999999</v>
      </c>
      <c r="P36" s="154">
        <v>244.52774999999997</v>
      </c>
      <c r="Q36" s="154">
        <v>241.49224000000001</v>
      </c>
      <c r="R36" s="154">
        <v>231.31567000000001</v>
      </c>
      <c r="S36" s="154">
        <v>231.31566999999998</v>
      </c>
      <c r="T36" s="154">
        <v>138.73737</v>
      </c>
      <c r="U36" s="154">
        <v>127.43312</v>
      </c>
      <c r="V36" s="154">
        <v>157.54511000000002</v>
      </c>
      <c r="W36" s="154">
        <v>-26</v>
      </c>
      <c r="X36" s="154">
        <v>-475.72909999999996</v>
      </c>
      <c r="Y36" s="154">
        <v>-517</v>
      </c>
      <c r="Z36" s="154">
        <v>221.70513</v>
      </c>
      <c r="AA36" s="154">
        <v>1200.0889199999999</v>
      </c>
      <c r="AB36" s="154">
        <v>823.48548000000005</v>
      </c>
      <c r="AC36" s="154">
        <v>-497.71178000000003</v>
      </c>
      <c r="AD36" s="154">
        <v>-441</v>
      </c>
      <c r="AE36" s="154">
        <v>-868.04660000000001</v>
      </c>
      <c r="AF36" s="154">
        <v>-1.98E-3</v>
      </c>
    </row>
    <row r="37" spans="1:32">
      <c r="A37" s="147" t="s">
        <v>33</v>
      </c>
      <c r="B37" s="147" t="s">
        <v>459</v>
      </c>
      <c r="C37" s="166"/>
      <c r="D37" s="157">
        <v>-692720</v>
      </c>
      <c r="E37" s="157">
        <v>-694201</v>
      </c>
      <c r="F37" s="157">
        <v>-691816</v>
      </c>
      <c r="G37" s="157">
        <v>-678170</v>
      </c>
      <c r="H37" s="157">
        <v>-688133</v>
      </c>
      <c r="I37" s="157">
        <v>-620204</v>
      </c>
      <c r="J37" s="157">
        <v>-620496</v>
      </c>
      <c r="K37" s="157">
        <f t="shared" ref="K37:P37" si="15">SUM(K33:K36)</f>
        <v>-602627</v>
      </c>
      <c r="L37" s="157">
        <f t="shared" si="15"/>
        <v>-608593</v>
      </c>
      <c r="M37" s="157">
        <f t="shared" si="15"/>
        <v>-648790</v>
      </c>
      <c r="N37" s="157">
        <f t="shared" si="15"/>
        <v>-620408</v>
      </c>
      <c r="O37" s="157">
        <f t="shared" si="15"/>
        <v>-630717</v>
      </c>
      <c r="P37" s="157">
        <f t="shared" si="15"/>
        <v>-555444</v>
      </c>
      <c r="Q37" s="157">
        <f>SUM(Q33:Q36)</f>
        <v>-533034</v>
      </c>
      <c r="R37" s="157">
        <f>SUM(R33:R36)</f>
        <v>-502711</v>
      </c>
      <c r="S37" s="157">
        <f>SUM(S33:S36)</f>
        <v>-482448</v>
      </c>
      <c r="T37" s="157">
        <f>SUM(T33:T36)</f>
        <v>-491488</v>
      </c>
      <c r="U37" s="157">
        <f>SUM(U33:U36)</f>
        <v>-477165</v>
      </c>
      <c r="V37" s="157">
        <f t="shared" ref="V37:X37" si="16">SUM(V33:V36)</f>
        <v>-485865</v>
      </c>
      <c r="W37" s="157">
        <f t="shared" si="16"/>
        <v>-415722</v>
      </c>
      <c r="X37" s="157">
        <f t="shared" si="16"/>
        <v>-441774</v>
      </c>
      <c r="Y37" s="157">
        <f t="shared" ref="Y37:AF37" si="17">SUM(Y33:Y36)</f>
        <v>-472170</v>
      </c>
      <c r="Z37" s="157">
        <f t="shared" si="17"/>
        <v>-429735</v>
      </c>
      <c r="AA37" s="157">
        <f t="shared" si="17"/>
        <v>-392814.8</v>
      </c>
      <c r="AB37" s="157">
        <f t="shared" si="17"/>
        <v>-424596.00000000006</v>
      </c>
      <c r="AC37" s="157">
        <f t="shared" si="17"/>
        <v>-430292</v>
      </c>
      <c r="AD37" s="157">
        <f t="shared" si="17"/>
        <v>-469402</v>
      </c>
      <c r="AE37" s="157">
        <f t="shared" si="17"/>
        <v>-505374</v>
      </c>
      <c r="AF37" s="157">
        <f t="shared" si="17"/>
        <v>-505028</v>
      </c>
    </row>
    <row r="38" spans="1:32">
      <c r="A38" s="150"/>
      <c r="B38" s="150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</row>
    <row r="39" spans="1:32" ht="24.5" thickBot="1">
      <c r="A39" s="144" t="s">
        <v>462</v>
      </c>
      <c r="B39" s="144" t="s">
        <v>463</v>
      </c>
      <c r="C39" s="165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</row>
    <row r="40" spans="1:32" ht="12.5" thickBot="1">
      <c r="A40" s="141" t="s">
        <v>452</v>
      </c>
      <c r="B40" s="141" t="s">
        <v>453</v>
      </c>
      <c r="C40" s="165"/>
      <c r="D40" s="154">
        <v>29442327</v>
      </c>
      <c r="E40" s="154">
        <v>30684793</v>
      </c>
      <c r="F40" s="154">
        <v>31200056</v>
      </c>
      <c r="G40" s="154">
        <v>31901749</v>
      </c>
      <c r="H40" s="154">
        <v>32699729</v>
      </c>
      <c r="I40" s="154">
        <v>45863874</v>
      </c>
      <c r="J40" s="154">
        <v>47191042</v>
      </c>
      <c r="K40" s="154">
        <v>46666986</v>
      </c>
      <c r="L40" s="154">
        <v>48628363</v>
      </c>
      <c r="M40" s="154">
        <v>48507300</v>
      </c>
      <c r="N40" s="154">
        <v>49399465.314939998</v>
      </c>
      <c r="O40" s="154">
        <v>50309935.502870001</v>
      </c>
      <c r="P40" s="154">
        <v>51802785.314939998</v>
      </c>
      <c r="Q40" s="154">
        <v>52315116.441820003</v>
      </c>
      <c r="R40" s="154">
        <v>54306956.314939998</v>
      </c>
      <c r="S40" s="154">
        <v>55561932.314939998</v>
      </c>
      <c r="T40" s="154">
        <v>55692622.314939998</v>
      </c>
      <c r="U40" s="154">
        <v>55672602.314939998</v>
      </c>
      <c r="V40" s="154">
        <v>53771314.314939998</v>
      </c>
      <c r="W40" s="154">
        <v>51722401</v>
      </c>
      <c r="X40" s="154">
        <v>49569247.814939998</v>
      </c>
      <c r="Y40" s="154">
        <v>50303645.314939998</v>
      </c>
      <c r="Z40" s="154">
        <v>50517583.314939998</v>
      </c>
      <c r="AA40" s="154">
        <v>50994740.314939998</v>
      </c>
      <c r="AB40" s="154">
        <v>50575364.314939998</v>
      </c>
      <c r="AC40" s="154">
        <v>51147548.314939998</v>
      </c>
      <c r="AD40" s="154">
        <v>52068645</v>
      </c>
      <c r="AE40" s="154">
        <v>51672953.814939998</v>
      </c>
      <c r="AF40" s="154">
        <v>51153898</v>
      </c>
    </row>
    <row r="41" spans="1:32" ht="12.5" thickBot="1">
      <c r="A41" s="141" t="s">
        <v>454</v>
      </c>
      <c r="B41" s="141" t="s">
        <v>455</v>
      </c>
      <c r="C41" s="165"/>
      <c r="D41" s="154">
        <v>1361611</v>
      </c>
      <c r="E41" s="154">
        <v>1481562</v>
      </c>
      <c r="F41" s="154">
        <v>1487402</v>
      </c>
      <c r="G41" s="154">
        <v>1581890</v>
      </c>
      <c r="H41" s="154">
        <v>1547707</v>
      </c>
      <c r="I41" s="154">
        <v>1368587</v>
      </c>
      <c r="J41" s="154">
        <v>1557223</v>
      </c>
      <c r="K41" s="154">
        <v>1743114</v>
      </c>
      <c r="L41" s="154">
        <v>1676868</v>
      </c>
      <c r="M41" s="154">
        <v>2072049.43509</v>
      </c>
      <c r="N41" s="154">
        <v>2353357.44129</v>
      </c>
      <c r="O41" s="154">
        <v>2387687.2231000001</v>
      </c>
      <c r="P41" s="154">
        <v>1752642.19808</v>
      </c>
      <c r="Q41" s="154">
        <v>2145776.36075</v>
      </c>
      <c r="R41" s="154">
        <v>2614227.4271999998</v>
      </c>
      <c r="S41" s="154">
        <v>2809032.3817599998</v>
      </c>
      <c r="T41" s="154">
        <v>2706932.95762</v>
      </c>
      <c r="U41" s="154">
        <v>2930517.1465099999</v>
      </c>
      <c r="V41" s="154">
        <v>4020531.0587400002</v>
      </c>
      <c r="W41" s="154">
        <v>5199033</v>
      </c>
      <c r="X41" s="154">
        <v>5976989.6800600002</v>
      </c>
      <c r="Y41" s="154">
        <v>4952181.1192399999</v>
      </c>
      <c r="Z41" s="154">
        <v>4922454.7904700004</v>
      </c>
      <c r="AA41" s="154">
        <v>4736341.7727699997</v>
      </c>
      <c r="AB41" s="154">
        <v>5060208.6254000003</v>
      </c>
      <c r="AC41" s="154">
        <v>5161984.8850299995</v>
      </c>
      <c r="AD41" s="154">
        <v>4990177</v>
      </c>
      <c r="AE41" s="154">
        <v>4748018.1559800003</v>
      </c>
      <c r="AF41" s="154">
        <v>4540497.8445199998</v>
      </c>
    </row>
    <row r="42" spans="1:32" ht="12.5" thickBot="1">
      <c r="A42" s="141" t="s">
        <v>456</v>
      </c>
      <c r="B42" s="141" t="s">
        <v>457</v>
      </c>
      <c r="C42" s="165"/>
      <c r="D42" s="154">
        <v>1563491</v>
      </c>
      <c r="E42" s="154">
        <v>1624678</v>
      </c>
      <c r="F42" s="154">
        <v>1604148</v>
      </c>
      <c r="G42" s="154">
        <v>1597136</v>
      </c>
      <c r="H42" s="154">
        <v>1563065</v>
      </c>
      <c r="I42" s="154">
        <v>1600468</v>
      </c>
      <c r="J42" s="154">
        <v>1742554</v>
      </c>
      <c r="K42" s="154">
        <v>1869922</v>
      </c>
      <c r="L42" s="154">
        <v>2122564</v>
      </c>
      <c r="M42" s="154">
        <v>2198276.5360999997</v>
      </c>
      <c r="N42" s="154">
        <v>2236692.9935299992</v>
      </c>
      <c r="O42" s="154">
        <v>2290587.7028299994</v>
      </c>
      <c r="P42" s="154">
        <v>2394153.9842900001</v>
      </c>
      <c r="Q42" s="154">
        <v>2439949.84179</v>
      </c>
      <c r="R42" s="154">
        <v>2549059.13582</v>
      </c>
      <c r="S42" s="154">
        <v>2462473.0463699996</v>
      </c>
      <c r="T42" s="154">
        <v>2481340.4401200004</v>
      </c>
      <c r="U42" s="154">
        <v>2444368.6285900003</v>
      </c>
      <c r="V42" s="154">
        <v>2670540.2246699994</v>
      </c>
      <c r="W42" s="154">
        <v>2707884</v>
      </c>
      <c r="X42" s="154">
        <v>2832994.6465599998</v>
      </c>
      <c r="Y42" s="154">
        <v>2595369.02043</v>
      </c>
      <c r="Z42" s="154">
        <v>2709559.5621600002</v>
      </c>
      <c r="AA42" s="154">
        <v>2645531.95236</v>
      </c>
      <c r="AB42" s="154">
        <v>2694202.9345800001</v>
      </c>
      <c r="AC42" s="154">
        <v>2620558.8640999999</v>
      </c>
      <c r="AD42" s="154">
        <v>2578597</v>
      </c>
      <c r="AE42" s="154">
        <v>2441086.9995400002</v>
      </c>
      <c r="AF42" s="154">
        <v>2478408.3869500002</v>
      </c>
    </row>
    <row r="43" spans="1:32" ht="12.5" thickBot="1">
      <c r="A43" s="141" t="s">
        <v>458</v>
      </c>
      <c r="B43" s="141" t="s">
        <v>458</v>
      </c>
      <c r="C43" s="165"/>
      <c r="D43" s="154">
        <v>0</v>
      </c>
      <c r="E43" s="154">
        <v>0</v>
      </c>
      <c r="F43" s="154">
        <v>0</v>
      </c>
      <c r="G43" s="154">
        <v>15271</v>
      </c>
      <c r="H43" s="154">
        <v>11970</v>
      </c>
      <c r="I43" s="154">
        <v>551185</v>
      </c>
      <c r="J43" s="154">
        <v>536087</v>
      </c>
      <c r="K43" s="154">
        <v>523989</v>
      </c>
      <c r="L43" s="154">
        <v>501536</v>
      </c>
      <c r="M43" s="154">
        <v>448649.7138700005</v>
      </c>
      <c r="N43" s="154">
        <v>427386.25024000078</v>
      </c>
      <c r="O43" s="154">
        <v>399391.57119000074</v>
      </c>
      <c r="P43" s="154">
        <v>350407.90268999973</v>
      </c>
      <c r="Q43" s="154">
        <v>314121.35563999991</v>
      </c>
      <c r="R43" s="154">
        <v>295104.12204000016</v>
      </c>
      <c r="S43" s="154">
        <v>241218.25693000056</v>
      </c>
      <c r="T43" s="154">
        <v>233748.28731999962</v>
      </c>
      <c r="U43" s="154">
        <v>174969.90995999984</v>
      </c>
      <c r="V43" s="154">
        <v>172791.40165000039</v>
      </c>
      <c r="W43" s="154">
        <v>137235</v>
      </c>
      <c r="X43" s="154">
        <v>126590.3584400002</v>
      </c>
      <c r="Y43" s="154">
        <v>112092.54538999994</v>
      </c>
      <c r="Z43" s="154">
        <v>107671.33242999985</v>
      </c>
      <c r="AA43" s="154">
        <v>93689.959930000172</v>
      </c>
      <c r="AB43" s="154">
        <v>88294.125079999969</v>
      </c>
      <c r="AC43" s="154">
        <v>83037.935929999905</v>
      </c>
      <c r="AD43" s="154">
        <v>78550</v>
      </c>
      <c r="AE43" s="154">
        <v>69668.529539999901</v>
      </c>
      <c r="AF43" s="154">
        <v>66653.768529999856</v>
      </c>
    </row>
    <row r="44" spans="1:32">
      <c r="A44" s="147" t="s">
        <v>33</v>
      </c>
      <c r="B44" s="147" t="s">
        <v>459</v>
      </c>
      <c r="C44" s="166"/>
      <c r="D44" s="157">
        <v>32367429</v>
      </c>
      <c r="E44" s="157">
        <v>33791033</v>
      </c>
      <c r="F44" s="157">
        <v>34291606</v>
      </c>
      <c r="G44" s="157">
        <v>35096046</v>
      </c>
      <c r="H44" s="157">
        <v>35822471</v>
      </c>
      <c r="I44" s="157">
        <v>49384114</v>
      </c>
      <c r="J44" s="157">
        <v>51026906</v>
      </c>
      <c r="K44" s="157">
        <f t="shared" ref="K44:P44" si="18">SUM(K40:K43)</f>
        <v>50804011</v>
      </c>
      <c r="L44" s="157">
        <f t="shared" si="18"/>
        <v>52929331</v>
      </c>
      <c r="M44" s="157">
        <f t="shared" si="18"/>
        <v>53226275.685060002</v>
      </c>
      <c r="N44" s="157">
        <f t="shared" si="18"/>
        <v>54416901.999999993</v>
      </c>
      <c r="O44" s="157">
        <f t="shared" si="18"/>
        <v>55387601.999990001</v>
      </c>
      <c r="P44" s="157">
        <f t="shared" si="18"/>
        <v>56299989.399999999</v>
      </c>
      <c r="Q44" s="157">
        <f>SUM(Q40:Q43)</f>
        <v>57214964</v>
      </c>
      <c r="R44" s="157">
        <f>SUM(R40:R43)</f>
        <v>59765347</v>
      </c>
      <c r="S44" s="157">
        <f>SUM(S40:S43)</f>
        <v>61074656</v>
      </c>
      <c r="T44" s="157">
        <f>SUM(T40:T43)</f>
        <v>61114644</v>
      </c>
      <c r="U44" s="157">
        <f>SUM(U40:U43)</f>
        <v>61222458</v>
      </c>
      <c r="V44" s="157">
        <f t="shared" ref="V44:X44" si="19">SUM(V40:V43)</f>
        <v>60635177</v>
      </c>
      <c r="W44" s="157">
        <f t="shared" si="19"/>
        <v>59766553</v>
      </c>
      <c r="X44" s="157">
        <f t="shared" si="19"/>
        <v>58505822.499999993</v>
      </c>
      <c r="Y44" s="157">
        <f t="shared" ref="Y44:AF44" si="20">SUM(Y40:Y43)</f>
        <v>57963288</v>
      </c>
      <c r="Z44" s="157">
        <f t="shared" si="20"/>
        <v>58257268.999999993</v>
      </c>
      <c r="AA44" s="157">
        <f t="shared" si="20"/>
        <v>58470304</v>
      </c>
      <c r="AB44" s="157">
        <f t="shared" si="20"/>
        <v>58418069.999999993</v>
      </c>
      <c r="AC44" s="157">
        <f t="shared" si="20"/>
        <v>59013130</v>
      </c>
      <c r="AD44" s="157">
        <f t="shared" si="20"/>
        <v>59715969</v>
      </c>
      <c r="AE44" s="157">
        <f t="shared" si="20"/>
        <v>58931727.5</v>
      </c>
      <c r="AF44" s="157">
        <f t="shared" si="20"/>
        <v>58239458</v>
      </c>
    </row>
    <row r="45" spans="1:32">
      <c r="A45" s="151"/>
      <c r="B45" s="151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</row>
    <row r="46" spans="1:32" ht="12.5" thickBot="1">
      <c r="A46" s="144" t="s">
        <v>464</v>
      </c>
      <c r="B46" s="144" t="s">
        <v>465</v>
      </c>
      <c r="C46" s="167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</row>
    <row r="47" spans="1:32" ht="12.5" thickBot="1">
      <c r="A47" s="141" t="s">
        <v>452</v>
      </c>
      <c r="B47" s="141" t="s">
        <v>453</v>
      </c>
      <c r="C47" s="165"/>
      <c r="D47" s="154">
        <v>-66746</v>
      </c>
      <c r="E47" s="154">
        <v>-65201</v>
      </c>
      <c r="F47" s="154">
        <v>-66965</v>
      </c>
      <c r="G47" s="154">
        <v>-73508</v>
      </c>
      <c r="H47" s="154">
        <v>-75797</v>
      </c>
      <c r="I47" s="154">
        <v>-169809</v>
      </c>
      <c r="J47" s="154">
        <v>-160392</v>
      </c>
      <c r="K47" s="154">
        <v>-138457</v>
      </c>
      <c r="L47" s="154">
        <v>-153980</v>
      </c>
      <c r="M47" s="154">
        <v>-205500</v>
      </c>
      <c r="N47" s="154">
        <v>-254228.96934000001</v>
      </c>
      <c r="O47" s="154">
        <v>-245410.96934000001</v>
      </c>
      <c r="P47" s="154">
        <v>-256035.96934000001</v>
      </c>
      <c r="Q47" s="154">
        <v>-245481.96934000001</v>
      </c>
      <c r="R47" s="154">
        <v>-241364.46934000001</v>
      </c>
      <c r="S47" s="154">
        <v>-224195.96934000001</v>
      </c>
      <c r="T47" s="154">
        <v>-211386.99715000001</v>
      </c>
      <c r="U47" s="154">
        <v>-228393.99991000001</v>
      </c>
      <c r="V47" s="154">
        <v>-286769.99991000001</v>
      </c>
      <c r="W47" s="154">
        <v>-254633</v>
      </c>
      <c r="X47" s="154">
        <v>-271126.99991000001</v>
      </c>
      <c r="Y47" s="154">
        <v>-320169.99991000001</v>
      </c>
      <c r="Z47" s="154">
        <v>-328001.99991000001</v>
      </c>
      <c r="AA47" s="154">
        <v>-322600.99991000001</v>
      </c>
      <c r="AB47" s="154">
        <v>-266867.99991000001</v>
      </c>
      <c r="AC47" s="154">
        <v>-283036.99991000001</v>
      </c>
      <c r="AD47" s="154">
        <v>-285485</v>
      </c>
      <c r="AE47" s="154">
        <v>-194543.99991000001</v>
      </c>
      <c r="AF47" s="154">
        <v>-188076</v>
      </c>
    </row>
    <row r="48" spans="1:32" ht="12.5" thickBot="1">
      <c r="A48" s="141" t="s">
        <v>454</v>
      </c>
      <c r="B48" s="141" t="s">
        <v>455</v>
      </c>
      <c r="C48" s="165"/>
      <c r="D48" s="154">
        <v>-107969</v>
      </c>
      <c r="E48" s="154">
        <v>-111140</v>
      </c>
      <c r="F48" s="154">
        <v>-107972</v>
      </c>
      <c r="G48" s="154">
        <v>-121530</v>
      </c>
      <c r="H48" s="154">
        <v>-116832</v>
      </c>
      <c r="I48" s="154">
        <v>-98583</v>
      </c>
      <c r="J48" s="154">
        <v>-121559</v>
      </c>
      <c r="K48" s="154">
        <v>-155913</v>
      </c>
      <c r="L48" s="154">
        <v>-151364</v>
      </c>
      <c r="M48" s="154">
        <v>-161948.29123999999</v>
      </c>
      <c r="N48" s="154">
        <v>-211307.06909999999</v>
      </c>
      <c r="O48" s="154">
        <v>-251526.98697000003</v>
      </c>
      <c r="P48" s="154">
        <v>-182192.92474000005</v>
      </c>
      <c r="Q48" s="154">
        <v>-202518.13577999998</v>
      </c>
      <c r="R48" s="154">
        <v>-251548.96022000004</v>
      </c>
      <c r="S48" s="154">
        <v>-250417.15914999996</v>
      </c>
      <c r="T48" s="154">
        <v>-246443.41</v>
      </c>
      <c r="U48" s="154">
        <v>-252761.26759</v>
      </c>
      <c r="V48" s="154">
        <v>-301646.68255999999</v>
      </c>
      <c r="W48" s="154">
        <v>-356229</v>
      </c>
      <c r="X48" s="154">
        <v>-334055.31737</v>
      </c>
      <c r="Y48" s="154">
        <v>-297001.14574999997</v>
      </c>
      <c r="Z48" s="154">
        <v>-309581.72031</v>
      </c>
      <c r="AA48" s="154">
        <v>-321597.64828999992</v>
      </c>
      <c r="AB48" s="154">
        <v>-319968.42655999999</v>
      </c>
      <c r="AC48" s="154">
        <v>-307720.95498000004</v>
      </c>
      <c r="AD48" s="154">
        <v>-271626</v>
      </c>
      <c r="AE48" s="154">
        <v>-282628.50368000002</v>
      </c>
      <c r="AF48" s="154">
        <v>-278837.59502999997</v>
      </c>
    </row>
    <row r="49" spans="1:36" ht="12.5" thickBot="1">
      <c r="A49" s="141" t="s">
        <v>456</v>
      </c>
      <c r="B49" s="141" t="s">
        <v>457</v>
      </c>
      <c r="C49" s="165"/>
      <c r="D49" s="154">
        <v>-896178</v>
      </c>
      <c r="E49" s="154">
        <v>-934774</v>
      </c>
      <c r="F49" s="154">
        <v>-914084</v>
      </c>
      <c r="G49" s="154">
        <v>-887106</v>
      </c>
      <c r="H49" s="154">
        <v>-853133</v>
      </c>
      <c r="I49" s="154">
        <v>-907332</v>
      </c>
      <c r="J49" s="154">
        <v>-971613</v>
      </c>
      <c r="K49" s="154">
        <v>-1019385</v>
      </c>
      <c r="L49" s="154">
        <v>-1116055</v>
      </c>
      <c r="M49" s="154">
        <v>-1184311.6070999999</v>
      </c>
      <c r="N49" s="154">
        <v>-1184655.1654100001</v>
      </c>
      <c r="O49" s="154">
        <v>-1218372.9158399999</v>
      </c>
      <c r="P49" s="154">
        <v>-1289013.3679599999</v>
      </c>
      <c r="Q49" s="154">
        <v>-1324944.59415</v>
      </c>
      <c r="R49" s="154">
        <v>-1411140.9447999999</v>
      </c>
      <c r="S49" s="154">
        <v>-1401696.9910200001</v>
      </c>
      <c r="T49" s="154">
        <v>-1433286.2977799999</v>
      </c>
      <c r="U49" s="154">
        <v>-1360015.4617400002</v>
      </c>
      <c r="V49" s="154">
        <v>-1392502.68973</v>
      </c>
      <c r="W49" s="154">
        <v>-1381075</v>
      </c>
      <c r="X49" s="154">
        <v>-1408437.3731500001</v>
      </c>
      <c r="Y49" s="154">
        <v>-1385509.9683900001</v>
      </c>
      <c r="Z49" s="154">
        <v>-1465576.5677</v>
      </c>
      <c r="AA49" s="154">
        <v>-1434403.9417100002</v>
      </c>
      <c r="AB49" s="154">
        <v>-1537443.29703</v>
      </c>
      <c r="AC49" s="154">
        <v>-1532367.96847</v>
      </c>
      <c r="AD49" s="154">
        <v>-1531164</v>
      </c>
      <c r="AE49" s="154">
        <v>-1488141.54256</v>
      </c>
      <c r="AF49" s="154">
        <v>-1546697.8593400002</v>
      </c>
    </row>
    <row r="50" spans="1:36" ht="12.5" thickBot="1">
      <c r="A50" s="141" t="s">
        <v>458</v>
      </c>
      <c r="B50" s="141" t="s">
        <v>458</v>
      </c>
      <c r="C50" s="165"/>
      <c r="D50" s="154">
        <v>0</v>
      </c>
      <c r="E50" s="154">
        <v>0</v>
      </c>
      <c r="F50" s="154">
        <v>0</v>
      </c>
      <c r="G50" s="154">
        <v>1447</v>
      </c>
      <c r="H50" s="154">
        <v>3307</v>
      </c>
      <c r="I50" s="154">
        <v>-1700</v>
      </c>
      <c r="J50" s="154">
        <v>-11311</v>
      </c>
      <c r="K50" s="154">
        <v>-45236</v>
      </c>
      <c r="L50" s="154">
        <v>-45914</v>
      </c>
      <c r="M50" s="154">
        <v>-47659.071000000054</v>
      </c>
      <c r="N50" s="154">
        <v>-39473.796149999915</v>
      </c>
      <c r="O50" s="154">
        <v>-26607.127850000012</v>
      </c>
      <c r="P50" s="154">
        <v>-30562.737959999991</v>
      </c>
      <c r="Q50" s="154">
        <v>-23144.300730000061</v>
      </c>
      <c r="R50" s="154">
        <v>-30309.125640000115</v>
      </c>
      <c r="S50" s="154">
        <v>-15487.880490000032</v>
      </c>
      <c r="T50" s="154">
        <v>-37125.295070000124</v>
      </c>
      <c r="U50" s="154">
        <v>-14492.270759999941</v>
      </c>
      <c r="V50" s="154">
        <v>-28263.627799999987</v>
      </c>
      <c r="W50" s="154">
        <v>-13150</v>
      </c>
      <c r="X50" s="154">
        <v>-20208.809569999932</v>
      </c>
      <c r="Y50" s="154">
        <v>-20262.885950000098</v>
      </c>
      <c r="Z50" s="154">
        <v>-27190.71207999999</v>
      </c>
      <c r="AA50" s="154">
        <v>-25136.41008999999</v>
      </c>
      <c r="AB50" s="154">
        <v>-29835.276499999985</v>
      </c>
      <c r="AC50" s="154">
        <v>-34002.076640000072</v>
      </c>
      <c r="AD50" s="154">
        <v>-38442</v>
      </c>
      <c r="AE50" s="154">
        <v>-32757.953849999914</v>
      </c>
      <c r="AF50" s="154">
        <v>-37331.545629999906</v>
      </c>
    </row>
    <row r="51" spans="1:36">
      <c r="A51" s="147" t="s">
        <v>33</v>
      </c>
      <c r="B51" s="147" t="s">
        <v>459</v>
      </c>
      <c r="C51" s="166"/>
      <c r="D51" s="157">
        <v>-1070893</v>
      </c>
      <c r="E51" s="157">
        <v>-1111115</v>
      </c>
      <c r="F51" s="157">
        <v>-1089021</v>
      </c>
      <c r="G51" s="157">
        <v>-1080697</v>
      </c>
      <c r="H51" s="157">
        <v>-1042455</v>
      </c>
      <c r="I51" s="157">
        <v>-1177424</v>
      </c>
      <c r="J51" s="157">
        <v>-1264875</v>
      </c>
      <c r="K51" s="157">
        <f t="shared" ref="K51:P51" si="21">SUM(K47:K50)</f>
        <v>-1358991</v>
      </c>
      <c r="L51" s="157">
        <f t="shared" si="21"/>
        <v>-1467313</v>
      </c>
      <c r="M51" s="157">
        <f t="shared" si="21"/>
        <v>-1599418.9693399998</v>
      </c>
      <c r="N51" s="157">
        <f t="shared" si="21"/>
        <v>-1689665</v>
      </c>
      <c r="O51" s="157">
        <f t="shared" si="21"/>
        <v>-1741918</v>
      </c>
      <c r="P51" s="157">
        <f t="shared" si="21"/>
        <v>-1757805</v>
      </c>
      <c r="Q51" s="157">
        <f>SUM(Q47:Q50)</f>
        <v>-1796089</v>
      </c>
      <c r="R51" s="157">
        <f>SUM(R47:R50)</f>
        <v>-1934363.5000000002</v>
      </c>
      <c r="S51" s="157">
        <f>SUM(S47:S50)</f>
        <v>-1891798.0000000002</v>
      </c>
      <c r="T51" s="157">
        <f>SUM(T47:T50)</f>
        <v>-1928242.0000000002</v>
      </c>
      <c r="U51" s="157">
        <f>SUM(U47:U50)</f>
        <v>-1855663.0000000002</v>
      </c>
      <c r="V51" s="157">
        <f t="shared" ref="V51:X51" si="22">SUM(V47:V50)</f>
        <v>-2009183</v>
      </c>
      <c r="W51" s="157">
        <f t="shared" si="22"/>
        <v>-2005087</v>
      </c>
      <c r="X51" s="157">
        <f t="shared" si="22"/>
        <v>-2033828.5000000002</v>
      </c>
      <c r="Y51" s="157">
        <f t="shared" ref="Y51:AA51" si="23">SUM(Y47:Y50)</f>
        <v>-2022944</v>
      </c>
      <c r="Z51" s="157">
        <f t="shared" si="23"/>
        <v>-2130351</v>
      </c>
      <c r="AA51" s="157">
        <f t="shared" si="23"/>
        <v>-2103739</v>
      </c>
      <c r="AB51" s="157">
        <f>SUM(AB47:AB50)</f>
        <v>-2154115.0000000005</v>
      </c>
      <c r="AC51" s="157">
        <f>SUM(AC47:AC50)</f>
        <v>-2157128</v>
      </c>
      <c r="AD51" s="157">
        <f>SUM(AD47:AD50)</f>
        <v>-2126717</v>
      </c>
      <c r="AE51" s="157">
        <f>SUM(AE47:AE50)</f>
        <v>-1998072</v>
      </c>
      <c r="AF51" s="157">
        <f>SUM(AF47:AF50)</f>
        <v>-2050943</v>
      </c>
    </row>
    <row r="52" spans="1:36">
      <c r="A52" s="151"/>
      <c r="B52" s="151"/>
      <c r="C52" s="148"/>
      <c r="D52" s="149"/>
      <c r="E52" s="149"/>
      <c r="F52" s="149"/>
      <c r="H52" s="152"/>
      <c r="I52" s="152"/>
      <c r="J52" s="152"/>
    </row>
    <row r="53" spans="1:36">
      <c r="U53" s="179"/>
      <c r="V53" s="179"/>
      <c r="W53" s="179"/>
      <c r="X53" s="179"/>
    </row>
    <row r="54" spans="1:36"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AB54" s="159"/>
      <c r="AC54" s="159"/>
      <c r="AD54" s="159"/>
      <c r="AE54" s="159"/>
      <c r="AF54" s="159"/>
    </row>
    <row r="55" spans="1:36">
      <c r="AB55" s="159"/>
      <c r="AC55" s="159"/>
      <c r="AD55" s="159"/>
      <c r="AE55" s="159"/>
      <c r="AF55" s="159"/>
      <c r="AG55" s="146"/>
      <c r="AH55" s="146"/>
      <c r="AI55" s="146"/>
      <c r="AJ55" s="146"/>
    </row>
    <row r="56" spans="1:36">
      <c r="AB56" s="159"/>
      <c r="AC56" s="159"/>
      <c r="AD56" s="159"/>
      <c r="AE56" s="159"/>
      <c r="AF56" s="159"/>
      <c r="AG56" s="146"/>
      <c r="AJ56" s="146"/>
    </row>
    <row r="58" spans="1:36">
      <c r="AB58" s="159"/>
      <c r="AC58" s="159"/>
      <c r="AD58" s="159"/>
      <c r="AE58" s="159"/>
      <c r="AF58" s="159"/>
    </row>
    <row r="59" spans="1:36"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</row>
    <row r="60" spans="1:36"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</row>
    <row r="61" spans="1:36"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</row>
    <row r="62" spans="1:36"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</row>
    <row r="63" spans="1:36"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</row>
    <row r="64" spans="1:36"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</row>
    <row r="65" spans="20:32"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</row>
    <row r="66" spans="20:32"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</row>
  </sheetData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28"/>
  <sheetViews>
    <sheetView zoomScale="90" zoomScaleNormal="90" workbookViewId="0">
      <pane xSplit="2" ySplit="3" topLeftCell="AB4" activePane="bottomRight" state="frozenSplit"/>
      <selection pane="topRight" activeCell="B1" sqref="B1"/>
      <selection pane="bottomLeft" activeCell="A4" sqref="A4"/>
      <selection pane="bottomRight"/>
    </sheetView>
  </sheetViews>
  <sheetFormatPr defaultColWidth="27.75" defaultRowHeight="12"/>
  <cols>
    <col min="1" max="1" width="35.58203125" style="99" customWidth="1"/>
    <col min="2" max="2" width="35.25" style="99" customWidth="1"/>
    <col min="3" max="32" width="11.75" style="99" customWidth="1"/>
    <col min="33" max="16384" width="27.75" style="99"/>
  </cols>
  <sheetData>
    <row r="1" spans="1:32" ht="15.5">
      <c r="A1" s="100" t="s">
        <v>344</v>
      </c>
    </row>
    <row r="2" spans="1:32" ht="15.5">
      <c r="A2" s="39" t="s">
        <v>365</v>
      </c>
      <c r="O2" s="54"/>
      <c r="P2" s="54"/>
      <c r="W2" s="14"/>
    </row>
    <row r="3" spans="1:32" s="117" customFormat="1">
      <c r="A3" s="98" t="s">
        <v>479</v>
      </c>
      <c r="B3" s="98" t="s">
        <v>480</v>
      </c>
      <c r="C3" s="116" t="s">
        <v>191</v>
      </c>
      <c r="D3" s="116" t="s">
        <v>221</v>
      </c>
      <c r="E3" s="116" t="s">
        <v>264</v>
      </c>
      <c r="F3" s="116" t="s">
        <v>301</v>
      </c>
      <c r="G3" s="116" t="s">
        <v>304</v>
      </c>
      <c r="H3" s="116" t="s">
        <v>308</v>
      </c>
      <c r="I3" s="116" t="s">
        <v>319</v>
      </c>
      <c r="J3" s="116" t="s">
        <v>324</v>
      </c>
      <c r="K3" s="116" t="s">
        <v>330</v>
      </c>
      <c r="L3" s="116" t="s">
        <v>401</v>
      </c>
      <c r="M3" s="116" t="s">
        <v>469</v>
      </c>
      <c r="N3" s="116" t="s">
        <v>474</v>
      </c>
      <c r="O3" s="116" t="s">
        <v>481</v>
      </c>
      <c r="P3" s="116" t="s">
        <v>490</v>
      </c>
      <c r="Q3" s="116" t="s">
        <v>503</v>
      </c>
      <c r="R3" s="116" t="s">
        <v>507</v>
      </c>
      <c r="S3" s="116" t="s">
        <v>512</v>
      </c>
      <c r="T3" s="116" t="s">
        <v>516</v>
      </c>
      <c r="U3" s="116" t="s">
        <v>519</v>
      </c>
      <c r="V3" s="116" t="s">
        <v>524</v>
      </c>
      <c r="W3" s="116" t="s">
        <v>542</v>
      </c>
      <c r="X3" s="116" t="s">
        <v>548</v>
      </c>
      <c r="Y3" s="116" t="s">
        <v>650</v>
      </c>
      <c r="Z3" s="116" t="s">
        <v>653</v>
      </c>
      <c r="AA3" s="116" t="s">
        <v>663</v>
      </c>
      <c r="AB3" s="116" t="s">
        <v>667</v>
      </c>
      <c r="AC3" s="116" t="s">
        <v>674</v>
      </c>
      <c r="AD3" s="116" t="s">
        <v>677</v>
      </c>
      <c r="AE3" s="116" t="s">
        <v>684</v>
      </c>
      <c r="AF3" s="116" t="s">
        <v>691</v>
      </c>
    </row>
    <row r="4" spans="1:32" s="1" customFormat="1" ht="12.5" thickBot="1">
      <c r="A4" s="107" t="s">
        <v>332</v>
      </c>
      <c r="B4" s="107" t="s">
        <v>345</v>
      </c>
      <c r="C4" s="108">
        <v>32693.599999999999</v>
      </c>
      <c r="D4" s="108">
        <v>33070.344070272658</v>
      </c>
      <c r="E4" s="108">
        <v>34268.699999999997</v>
      </c>
      <c r="F4" s="108">
        <v>34822.1</v>
      </c>
      <c r="G4" s="108">
        <v>36635.5</v>
      </c>
      <c r="H4" s="108">
        <v>37735.199999999997</v>
      </c>
      <c r="I4" s="108">
        <v>47048.1</v>
      </c>
      <c r="J4" s="108">
        <v>48316.7</v>
      </c>
      <c r="K4" s="108">
        <v>48124.6</v>
      </c>
      <c r="L4" s="108">
        <v>50675</v>
      </c>
      <c r="M4" s="108">
        <v>50007.1</v>
      </c>
      <c r="N4" s="108">
        <v>50305.396430775698</v>
      </c>
      <c r="O4" s="108">
        <v>51138</v>
      </c>
      <c r="P4" s="108">
        <v>50078.1</v>
      </c>
      <c r="Q4" s="108">
        <v>50677.5</v>
      </c>
      <c r="R4" s="108">
        <v>50220.2</v>
      </c>
      <c r="S4" s="108">
        <v>49442.750453374232</v>
      </c>
      <c r="T4" s="108">
        <v>48956.911808171331</v>
      </c>
      <c r="U4" s="108">
        <v>49819.7</v>
      </c>
      <c r="V4" s="108">
        <v>52587.1</v>
      </c>
      <c r="W4" s="108">
        <v>48497.286343369567</v>
      </c>
      <c r="X4" s="108">
        <v>47954.400000000001</v>
      </c>
      <c r="Y4" s="108">
        <v>47147.9</v>
      </c>
      <c r="Z4" s="108">
        <v>44901.230157369093</v>
      </c>
      <c r="AA4" s="108">
        <v>41354.5</v>
      </c>
      <c r="AB4" s="108">
        <v>42519.522134478153</v>
      </c>
      <c r="AC4" s="108">
        <v>43317.7</v>
      </c>
      <c r="AD4" s="108">
        <v>44208</v>
      </c>
      <c r="AE4" s="108" t="s">
        <v>687</v>
      </c>
      <c r="AF4" s="108">
        <v>46390.3</v>
      </c>
    </row>
    <row r="5" spans="1:32" s="1" customFormat="1" ht="12.5" thickBot="1">
      <c r="A5" s="107" t="s">
        <v>333</v>
      </c>
      <c r="B5" s="107" t="s">
        <v>346</v>
      </c>
      <c r="C5" s="108">
        <v>2615.5</v>
      </c>
      <c r="D5" s="108">
        <v>2645.6275256218123</v>
      </c>
      <c r="E5" s="108">
        <v>2741.5</v>
      </c>
      <c r="F5" s="108">
        <v>2785.8</v>
      </c>
      <c r="G5" s="108">
        <v>2930.8</v>
      </c>
      <c r="H5" s="108">
        <v>3018.9</v>
      </c>
      <c r="I5" s="108">
        <v>3763.8</v>
      </c>
      <c r="J5" s="108">
        <v>3865.4</v>
      </c>
      <c r="K5" s="108">
        <v>3849.97</v>
      </c>
      <c r="L5" s="108">
        <v>4054</v>
      </c>
      <c r="M5" s="108">
        <v>4000.6</v>
      </c>
      <c r="N5" s="108">
        <v>4024.43171446206</v>
      </c>
      <c r="O5" s="108">
        <v>4091</v>
      </c>
      <c r="P5" s="108">
        <v>4006.2</v>
      </c>
      <c r="Q5" s="108">
        <v>4054.1</v>
      </c>
      <c r="R5" s="108">
        <v>4017.6</v>
      </c>
      <c r="S5" s="108">
        <v>3955.420036269938</v>
      </c>
      <c r="T5" s="108">
        <v>3916.5529446537066</v>
      </c>
      <c r="U5" s="108">
        <v>3985.6</v>
      </c>
      <c r="V5" s="108">
        <v>4207</v>
      </c>
      <c r="W5" s="108">
        <v>3879.7829074695655</v>
      </c>
      <c r="X5" s="108">
        <v>3836.4</v>
      </c>
      <c r="Y5" s="108">
        <v>3771.8</v>
      </c>
      <c r="Z5" s="108">
        <v>3592.098412589527</v>
      </c>
      <c r="AA5" s="108">
        <v>3308.4</v>
      </c>
      <c r="AB5" s="108">
        <v>3401.5617707582524</v>
      </c>
      <c r="AC5" s="108">
        <v>3465.4</v>
      </c>
      <c r="AD5" s="108">
        <v>3536.6</v>
      </c>
      <c r="AE5" s="108">
        <v>3609.3</v>
      </c>
      <c r="AF5" s="108">
        <v>3711.2</v>
      </c>
    </row>
    <row r="6" spans="1:32" s="1" customFormat="1" ht="24.5" thickBot="1">
      <c r="A6" s="109" t="s">
        <v>361</v>
      </c>
      <c r="B6" s="110" t="s">
        <v>347</v>
      </c>
      <c r="C6" s="108">
        <v>2297.6999999999998</v>
      </c>
      <c r="D6" s="108">
        <v>2299.2098793376181</v>
      </c>
      <c r="E6" s="108">
        <v>2399</v>
      </c>
      <c r="F6" s="108">
        <v>2444.6999999999998</v>
      </c>
      <c r="G6" s="108">
        <v>2593.9</v>
      </c>
      <c r="H6" s="108">
        <v>2656.6</v>
      </c>
      <c r="I6" s="108">
        <v>3324.5</v>
      </c>
      <c r="J6" s="108">
        <v>3420.3</v>
      </c>
      <c r="K6" s="108">
        <v>3495.2</v>
      </c>
      <c r="L6" s="108">
        <v>3642</v>
      </c>
      <c r="M6" s="108">
        <v>3584.5</v>
      </c>
      <c r="N6" s="108">
        <v>3608.43859040082</v>
      </c>
      <c r="O6" s="108">
        <v>3677</v>
      </c>
      <c r="P6" s="108">
        <v>3539.1</v>
      </c>
      <c r="Q6" s="108">
        <v>3584.5</v>
      </c>
      <c r="R6" s="108">
        <v>3537</v>
      </c>
      <c r="S6" s="108">
        <v>3955.420036269938</v>
      </c>
      <c r="T6" s="108">
        <v>3401.2</v>
      </c>
      <c r="U6" s="108">
        <v>3473.1</v>
      </c>
      <c r="V6" s="108">
        <v>3692.7</v>
      </c>
      <c r="W6" s="108">
        <v>3380.5365538308815</v>
      </c>
      <c r="X6" s="108">
        <v>3362.8551409398597</v>
      </c>
      <c r="Y6" s="108">
        <v>3301.3</v>
      </c>
      <c r="Z6" s="108">
        <v>3114.1190404388476</v>
      </c>
      <c r="AA6" s="108">
        <v>2841.2</v>
      </c>
      <c r="AB6" s="108">
        <v>2876.5690572872345</v>
      </c>
      <c r="AC6" s="108">
        <v>2945.2</v>
      </c>
      <c r="AD6" s="108">
        <v>3016.7</v>
      </c>
      <c r="AE6" s="108">
        <v>3086.6</v>
      </c>
      <c r="AF6" s="108">
        <v>2963.1</v>
      </c>
    </row>
    <row r="7" spans="1:32" s="1" customFormat="1" ht="12.5" thickBot="1">
      <c r="A7" s="109" t="s">
        <v>362</v>
      </c>
      <c r="B7" s="110" t="s">
        <v>348</v>
      </c>
      <c r="C7" s="108">
        <v>18.3</v>
      </c>
      <c r="D7" s="108">
        <v>31.735184475165024</v>
      </c>
      <c r="E7" s="108">
        <v>27.9</v>
      </c>
      <c r="F7" s="108">
        <v>27.1</v>
      </c>
      <c r="G7" s="108">
        <v>20.3</v>
      </c>
      <c r="H7" s="108">
        <v>22.6</v>
      </c>
      <c r="I7" s="108">
        <v>19.899999999999999</v>
      </c>
      <c r="J7" s="108">
        <v>24.3</v>
      </c>
      <c r="K7" s="108">
        <v>24.2</v>
      </c>
      <c r="L7" s="108">
        <v>24.3</v>
      </c>
      <c r="M7" s="108">
        <v>28.8</v>
      </c>
      <c r="N7" s="108">
        <v>28.3876186</v>
      </c>
      <c r="O7" s="108">
        <v>26.7</v>
      </c>
      <c r="P7" s="108">
        <v>29.7</v>
      </c>
      <c r="Q7" s="108">
        <v>24.6</v>
      </c>
      <c r="R7" s="108">
        <v>33.4</v>
      </c>
      <c r="S7" s="108">
        <v>32.309276297272781</v>
      </c>
      <c r="T7" s="108">
        <v>32.4</v>
      </c>
      <c r="U7" s="108">
        <v>28</v>
      </c>
      <c r="V7" s="108">
        <v>27.4</v>
      </c>
      <c r="W7" s="108">
        <v>18.042563102720784</v>
      </c>
      <c r="X7" s="108">
        <v>20.3</v>
      </c>
      <c r="Y7" s="108">
        <v>18</v>
      </c>
      <c r="Z7" s="108">
        <v>23.565647083300004</v>
      </c>
      <c r="AA7" s="108">
        <v>15.4</v>
      </c>
      <c r="AB7" s="108">
        <v>19.382289316050002</v>
      </c>
      <c r="AC7" s="108">
        <v>16.600000000000001</v>
      </c>
      <c r="AD7" s="108">
        <v>16.399999999999999</v>
      </c>
      <c r="AE7" s="108">
        <v>19.8</v>
      </c>
      <c r="AF7" s="108">
        <v>20.9</v>
      </c>
    </row>
    <row r="8" spans="1:32" s="1" customFormat="1" ht="12.5" thickBot="1">
      <c r="A8" s="109" t="s">
        <v>363</v>
      </c>
      <c r="B8" s="110" t="s">
        <v>349</v>
      </c>
      <c r="C8" s="108">
        <v>293.39999999999998</v>
      </c>
      <c r="D8" s="108">
        <v>310.79165313184666</v>
      </c>
      <c r="E8" s="108">
        <v>310.8</v>
      </c>
      <c r="F8" s="108">
        <v>310.8</v>
      </c>
      <c r="G8" s="108">
        <v>313.10000000000002</v>
      </c>
      <c r="H8" s="108">
        <v>336.9</v>
      </c>
      <c r="I8" s="108">
        <v>415.9</v>
      </c>
      <c r="J8" s="108">
        <v>415.9</v>
      </c>
      <c r="K8" s="108">
        <v>326.89999999999998</v>
      </c>
      <c r="L8" s="108">
        <v>382.5</v>
      </c>
      <c r="M8" s="108">
        <v>382.6</v>
      </c>
      <c r="N8" s="108">
        <v>382.635257016926</v>
      </c>
      <c r="O8" s="108">
        <v>382.6</v>
      </c>
      <c r="P8" s="108">
        <v>433</v>
      </c>
      <c r="Q8" s="108">
        <v>433</v>
      </c>
      <c r="R8" s="108">
        <v>433</v>
      </c>
      <c r="S8" s="108">
        <v>432.99958922268809</v>
      </c>
      <c r="T8" s="108">
        <v>474.5</v>
      </c>
      <c r="U8" s="108">
        <v>474.5</v>
      </c>
      <c r="V8" s="108">
        <v>474.5</v>
      </c>
      <c r="W8" s="108">
        <v>474.53108036986987</v>
      </c>
      <c r="X8" s="108">
        <v>446.4</v>
      </c>
      <c r="Y8" s="108">
        <v>446.4</v>
      </c>
      <c r="Z8" s="108">
        <v>446.42430038241287</v>
      </c>
      <c r="AA8" s="108">
        <v>446.4</v>
      </c>
      <c r="AB8" s="108">
        <v>500.38231390193403</v>
      </c>
      <c r="AC8" s="108">
        <v>500.4</v>
      </c>
      <c r="AD8" s="108">
        <v>500.4</v>
      </c>
      <c r="AE8" s="108">
        <v>500.4</v>
      </c>
      <c r="AF8" s="108">
        <v>707.3</v>
      </c>
    </row>
    <row r="9" spans="1:32" s="1" customFormat="1" ht="24.5" thickBot="1">
      <c r="A9" s="109" t="s">
        <v>364</v>
      </c>
      <c r="B9" s="110" t="s">
        <v>350</v>
      </c>
      <c r="C9" s="108">
        <v>6.1</v>
      </c>
      <c r="D9" s="108">
        <v>3.8908086771827795</v>
      </c>
      <c r="E9" s="108">
        <v>3.8</v>
      </c>
      <c r="F9" s="108">
        <v>3.2</v>
      </c>
      <c r="G9" s="108">
        <v>3.5</v>
      </c>
      <c r="H9" s="108">
        <v>2.8</v>
      </c>
      <c r="I9" s="108">
        <v>3.6</v>
      </c>
      <c r="J9" s="108">
        <v>4.9000000000000004</v>
      </c>
      <c r="K9" s="108">
        <v>3.6</v>
      </c>
      <c r="L9" s="108">
        <v>5.2</v>
      </c>
      <c r="M9" s="108">
        <v>4.5999999999999996</v>
      </c>
      <c r="N9" s="108">
        <v>4.9702484443097399</v>
      </c>
      <c r="O9" s="108">
        <v>4.8</v>
      </c>
      <c r="P9" s="108">
        <v>4.5</v>
      </c>
      <c r="Q9" s="108">
        <v>12</v>
      </c>
      <c r="R9" s="108">
        <v>14.2</v>
      </c>
      <c r="S9" s="108">
        <v>10.281745210401398</v>
      </c>
      <c r="T9" s="108">
        <v>8.4</v>
      </c>
      <c r="U9" s="108">
        <v>10</v>
      </c>
      <c r="V9" s="108">
        <v>12.4</v>
      </c>
      <c r="W9" s="108">
        <v>6.6727101660936494</v>
      </c>
      <c r="X9" s="108">
        <v>6.8</v>
      </c>
      <c r="Y9" s="108">
        <v>6.1</v>
      </c>
      <c r="Z9" s="108">
        <v>7.9894246849663197</v>
      </c>
      <c r="AA9" s="108">
        <v>5.4</v>
      </c>
      <c r="AB9" s="108">
        <v>5.2281102530340808</v>
      </c>
      <c r="AC9" s="108">
        <v>3.2</v>
      </c>
      <c r="AD9" s="108">
        <v>3.2</v>
      </c>
      <c r="AE9" s="108">
        <v>2.5</v>
      </c>
      <c r="AF9" s="108">
        <v>19.899999999999999</v>
      </c>
    </row>
    <row r="10" spans="1:32" s="1" customFormat="1" ht="12.5" thickBot="1">
      <c r="A10" s="107" t="s">
        <v>334</v>
      </c>
      <c r="B10" s="107" t="s">
        <v>351</v>
      </c>
      <c r="C10" s="111">
        <v>7190.6</v>
      </c>
      <c r="D10" s="111">
        <v>8079.8864174890268</v>
      </c>
      <c r="E10" s="108">
        <v>8009.6</v>
      </c>
      <c r="F10" s="108">
        <v>7978.2</v>
      </c>
      <c r="G10" s="108">
        <v>7943</v>
      </c>
      <c r="H10" s="108">
        <v>9658.9</v>
      </c>
      <c r="I10" s="108">
        <v>9470.5</v>
      </c>
      <c r="J10" s="108">
        <v>9778.7999999999993</v>
      </c>
      <c r="K10" s="108">
        <v>9668.5</v>
      </c>
      <c r="L10" s="108">
        <v>9896.7999999999993</v>
      </c>
      <c r="M10" s="108">
        <v>10012.799999999999</v>
      </c>
      <c r="N10" s="108">
        <v>10070.6719428709</v>
      </c>
      <c r="O10" s="108">
        <v>9969</v>
      </c>
      <c r="P10" s="108">
        <v>9701</v>
      </c>
      <c r="Q10" s="108">
        <v>9451.1</v>
      </c>
      <c r="R10" s="108">
        <v>9123.7999999999993</v>
      </c>
      <c r="S10" s="108">
        <v>8436.3267239424258</v>
      </c>
      <c r="T10" s="108">
        <v>7824.7</v>
      </c>
      <c r="U10" s="108">
        <v>7570.1</v>
      </c>
      <c r="V10" s="108">
        <v>6497.2</v>
      </c>
      <c r="W10" s="108">
        <v>6991.1249387335311</v>
      </c>
      <c r="X10" s="108">
        <v>6780.7</v>
      </c>
      <c r="Y10" s="108">
        <v>6962.3</v>
      </c>
      <c r="Z10" s="108">
        <v>7471.6765441267853</v>
      </c>
      <c r="AA10" s="108">
        <v>7470.6</v>
      </c>
      <c r="AB10" s="108">
        <v>7659.1103109171054</v>
      </c>
      <c r="AC10" s="108">
        <v>7421</v>
      </c>
      <c r="AD10" s="108">
        <v>7928.8</v>
      </c>
      <c r="AE10" s="108">
        <v>7776.4</v>
      </c>
      <c r="AF10" s="108">
        <v>8041.8</v>
      </c>
    </row>
    <row r="11" spans="1:32" s="1" customFormat="1" ht="12.5" thickBot="1">
      <c r="A11" s="112" t="s">
        <v>335</v>
      </c>
      <c r="B11" s="112" t="s">
        <v>352</v>
      </c>
      <c r="C11" s="111">
        <v>6548.8</v>
      </c>
      <c r="D11" s="111">
        <v>7379.8864174890268</v>
      </c>
      <c r="E11" s="108">
        <v>7309.6</v>
      </c>
      <c r="F11" s="108">
        <v>7278.2</v>
      </c>
      <c r="G11" s="108">
        <v>7243</v>
      </c>
      <c r="H11" s="108">
        <v>8128</v>
      </c>
      <c r="I11" s="108">
        <v>7940.5</v>
      </c>
      <c r="J11" s="108">
        <v>8248.7999999999993</v>
      </c>
      <c r="K11" s="108">
        <v>8138.5</v>
      </c>
      <c r="L11" s="108">
        <v>8366.7999999999993</v>
      </c>
      <c r="M11" s="108">
        <v>8482.7999999999993</v>
      </c>
      <c r="N11" s="108">
        <v>8540.6719428708602</v>
      </c>
      <c r="O11" s="108">
        <v>8439</v>
      </c>
      <c r="P11" s="108">
        <v>8171</v>
      </c>
      <c r="Q11" s="108">
        <v>7921.1</v>
      </c>
      <c r="R11" s="108">
        <v>7593.8</v>
      </c>
      <c r="S11" s="108">
        <v>6906.3267239424249</v>
      </c>
      <c r="T11" s="108">
        <v>6294.7</v>
      </c>
      <c r="U11" s="108">
        <v>6040.1</v>
      </c>
      <c r="V11" s="108">
        <v>4967.2</v>
      </c>
      <c r="W11" s="108">
        <v>5469.9468567335316</v>
      </c>
      <c r="X11" s="108">
        <v>5294.4</v>
      </c>
      <c r="Y11" s="108">
        <v>5510.9</v>
      </c>
      <c r="Z11" s="108">
        <v>6055.5319658135322</v>
      </c>
      <c r="AA11" s="108">
        <v>6089.7</v>
      </c>
      <c r="AB11" s="108">
        <v>6340.8311695719076</v>
      </c>
      <c r="AC11" s="108">
        <v>6178.9</v>
      </c>
      <c r="AD11" s="108">
        <v>6763.8</v>
      </c>
      <c r="AE11" s="108">
        <v>6688.4</v>
      </c>
      <c r="AF11" s="108">
        <v>7029.2</v>
      </c>
    </row>
    <row r="12" spans="1:32" s="1" customFormat="1" ht="12.5" thickBot="1">
      <c r="A12" s="107" t="s">
        <v>336</v>
      </c>
      <c r="B12" s="107" t="s">
        <v>353</v>
      </c>
      <c r="C12" s="111">
        <v>641.79999999999995</v>
      </c>
      <c r="D12" s="111">
        <v>700</v>
      </c>
      <c r="E12" s="108">
        <v>700</v>
      </c>
      <c r="F12" s="108">
        <v>700</v>
      </c>
      <c r="G12" s="108">
        <v>700</v>
      </c>
      <c r="H12" s="108">
        <v>1530</v>
      </c>
      <c r="I12" s="108">
        <v>1530</v>
      </c>
      <c r="J12" s="108">
        <v>1530</v>
      </c>
      <c r="K12" s="108">
        <v>1530</v>
      </c>
      <c r="L12" s="108">
        <v>1530</v>
      </c>
      <c r="M12" s="108">
        <v>1530</v>
      </c>
      <c r="N12" s="108">
        <v>1530</v>
      </c>
      <c r="O12" s="108">
        <v>1530</v>
      </c>
      <c r="P12" s="108">
        <v>1530</v>
      </c>
      <c r="Q12" s="108">
        <v>1530</v>
      </c>
      <c r="R12" s="108">
        <v>1530</v>
      </c>
      <c r="S12" s="108">
        <v>1530</v>
      </c>
      <c r="T12" s="108">
        <v>1530</v>
      </c>
      <c r="U12" s="108">
        <v>1530</v>
      </c>
      <c r="V12" s="108">
        <v>1530</v>
      </c>
      <c r="W12" s="108">
        <v>1521.1780819999999</v>
      </c>
      <c r="X12" s="108">
        <v>1486.3</v>
      </c>
      <c r="Y12" s="108">
        <v>1451.4</v>
      </c>
      <c r="Z12" s="108">
        <v>1416.1445783132529</v>
      </c>
      <c r="AA12" s="108">
        <v>1380.9</v>
      </c>
      <c r="AB12" s="108">
        <v>1318.2791413451987</v>
      </c>
      <c r="AC12" s="108">
        <v>1242.0999999999999</v>
      </c>
      <c r="AD12" s="108">
        <v>1165</v>
      </c>
      <c r="AE12" s="108">
        <v>1087.9000000000001</v>
      </c>
      <c r="AF12" s="108">
        <v>1012.6</v>
      </c>
    </row>
    <row r="13" spans="1:32" s="1" customFormat="1" ht="12.5" thickBot="1">
      <c r="A13" s="113" t="s">
        <v>337</v>
      </c>
      <c r="B13" s="113" t="s">
        <v>354</v>
      </c>
      <c r="C13" s="126">
        <v>0.21990000000000001</v>
      </c>
      <c r="D13" s="126">
        <v>0.24429999999999999</v>
      </c>
      <c r="E13" s="126">
        <v>0.23369999999999999</v>
      </c>
      <c r="F13" s="126">
        <v>0.2291</v>
      </c>
      <c r="G13" s="126">
        <v>0.21679999999999999</v>
      </c>
      <c r="H13" s="126">
        <v>0.25600000000000001</v>
      </c>
      <c r="I13" s="126">
        <v>0.20130000000000001</v>
      </c>
      <c r="J13" s="126">
        <v>0.2024</v>
      </c>
      <c r="K13" s="126">
        <v>0.2009</v>
      </c>
      <c r="L13" s="126">
        <v>0.1953</v>
      </c>
      <c r="M13" s="126">
        <v>0.20019999999999999</v>
      </c>
      <c r="N13" s="126">
        <v>0.20019999999999999</v>
      </c>
      <c r="O13" s="126">
        <v>0.19489999999999999</v>
      </c>
      <c r="P13" s="126">
        <v>0.19370000000000001</v>
      </c>
      <c r="Q13" s="126">
        <v>0.1865</v>
      </c>
      <c r="R13" s="126">
        <v>0.1817</v>
      </c>
      <c r="S13" s="126">
        <v>0.1706</v>
      </c>
      <c r="T13" s="126">
        <v>0.1598</v>
      </c>
      <c r="U13" s="126">
        <v>0.15190000000000001</v>
      </c>
      <c r="V13" s="126">
        <v>0.1236</v>
      </c>
      <c r="W13" s="126">
        <v>0.14415497166656091</v>
      </c>
      <c r="X13" s="126">
        <v>0.1414</v>
      </c>
      <c r="Y13" s="126">
        <v>0.1477</v>
      </c>
      <c r="Z13" s="126">
        <v>0.16639999999999999</v>
      </c>
      <c r="AA13" s="126">
        <v>0.18060000000000001</v>
      </c>
      <c r="AB13" s="126">
        <v>0.18013161781765416</v>
      </c>
      <c r="AC13" s="126">
        <v>0.17130000000000001</v>
      </c>
      <c r="AD13" s="126">
        <v>0.1794</v>
      </c>
      <c r="AE13" s="126">
        <v>0.1724</v>
      </c>
      <c r="AF13" s="126">
        <v>0.1734</v>
      </c>
    </row>
    <row r="14" spans="1:32" s="1" customFormat="1" ht="12.5" thickBot="1">
      <c r="A14" s="107" t="s">
        <v>338</v>
      </c>
      <c r="B14" s="107" t="s">
        <v>355</v>
      </c>
      <c r="C14" s="127">
        <v>0.18909999999999999</v>
      </c>
      <c r="D14" s="127">
        <v>0.18540000000000001</v>
      </c>
      <c r="E14" s="128">
        <v>0.18540000000000001</v>
      </c>
      <c r="F14" s="128">
        <v>0.18285000000000001</v>
      </c>
      <c r="G14" s="128">
        <v>0.1915</v>
      </c>
      <c r="H14" s="128">
        <v>0.19769999999999999</v>
      </c>
      <c r="I14" s="128">
        <v>0.19769999999999999</v>
      </c>
      <c r="J14" s="128">
        <v>0.19769999999999999</v>
      </c>
      <c r="K14" s="128">
        <v>0.1837</v>
      </c>
      <c r="L14" s="128">
        <v>0.1537</v>
      </c>
      <c r="M14" s="128">
        <v>0.1537</v>
      </c>
      <c r="N14" s="128">
        <v>0.1537</v>
      </c>
      <c r="O14" s="128">
        <v>0.14099999999999999</v>
      </c>
      <c r="P14" s="128">
        <v>0.14099999999999999</v>
      </c>
      <c r="Q14" s="128">
        <v>0.14099999999999999</v>
      </c>
      <c r="R14" s="128">
        <v>0.14099999999999999</v>
      </c>
      <c r="S14" s="128">
        <v>0.13539999999999999</v>
      </c>
      <c r="T14" s="128">
        <v>0.13539999999999999</v>
      </c>
      <c r="U14" s="128">
        <v>0.13539999999999999</v>
      </c>
      <c r="V14" s="128">
        <v>0.13539999999999999</v>
      </c>
      <c r="W14" s="128">
        <v>0.12690000000000001</v>
      </c>
      <c r="X14" s="128">
        <v>0.12690000000000001</v>
      </c>
      <c r="Y14" s="128">
        <v>0.12690000000000001</v>
      </c>
      <c r="Z14" s="128">
        <v>0.12690000000000001</v>
      </c>
      <c r="AA14" s="128">
        <v>0.1221</v>
      </c>
      <c r="AB14" s="128">
        <v>0.1221</v>
      </c>
      <c r="AC14" s="128">
        <v>0.1221</v>
      </c>
      <c r="AD14" s="128">
        <v>0.1221</v>
      </c>
      <c r="AE14" s="128">
        <v>0.1221</v>
      </c>
      <c r="AF14" s="128">
        <v>0.1075</v>
      </c>
    </row>
    <row r="15" spans="1:32" s="1" customFormat="1" ht="24.5" thickBot="1">
      <c r="A15" s="107" t="s">
        <v>339</v>
      </c>
      <c r="B15" s="107" t="s">
        <v>356</v>
      </c>
      <c r="C15" s="129" t="s">
        <v>404</v>
      </c>
      <c r="D15" s="129" t="s">
        <v>405</v>
      </c>
      <c r="E15" s="130" t="s">
        <v>406</v>
      </c>
      <c r="F15" s="130" t="s">
        <v>407</v>
      </c>
      <c r="G15" s="130" t="s">
        <v>408</v>
      </c>
      <c r="H15" s="130" t="s">
        <v>409</v>
      </c>
      <c r="I15" s="130" t="s">
        <v>410</v>
      </c>
      <c r="J15" s="130" t="s">
        <v>411</v>
      </c>
      <c r="K15" s="130" t="s">
        <v>412</v>
      </c>
      <c r="L15" s="130" t="s">
        <v>413</v>
      </c>
      <c r="M15" s="130" t="s">
        <v>472</v>
      </c>
      <c r="N15" s="130" t="s">
        <v>472</v>
      </c>
      <c r="O15" s="130" t="s">
        <v>482</v>
      </c>
      <c r="P15" s="130" t="s">
        <v>491</v>
      </c>
      <c r="Q15" s="130" t="s">
        <v>504</v>
      </c>
      <c r="R15" s="130" t="s">
        <v>508</v>
      </c>
      <c r="S15" s="130" t="s">
        <v>513</v>
      </c>
      <c r="T15" s="130" t="s">
        <v>517</v>
      </c>
      <c r="U15" s="130" t="s">
        <v>520</v>
      </c>
      <c r="V15" s="130" t="s">
        <v>543</v>
      </c>
      <c r="W15" s="130" t="s">
        <v>544</v>
      </c>
      <c r="X15" s="130" t="s">
        <v>549</v>
      </c>
      <c r="Y15" s="130" t="s">
        <v>657</v>
      </c>
      <c r="Z15" s="130" t="s">
        <v>658</v>
      </c>
      <c r="AA15" s="130" t="s">
        <v>664</v>
      </c>
      <c r="AB15" s="130" t="s">
        <v>670</v>
      </c>
      <c r="AC15" s="130" t="s">
        <v>675</v>
      </c>
      <c r="AD15" s="130" t="s">
        <v>678</v>
      </c>
      <c r="AE15" s="130" t="s">
        <v>688</v>
      </c>
      <c r="AF15" s="130" t="s">
        <v>692</v>
      </c>
    </row>
    <row r="16" spans="1:32" s="1" customFormat="1" ht="12.5" thickBot="1">
      <c r="A16" s="113" t="s">
        <v>340</v>
      </c>
      <c r="B16" s="113" t="s">
        <v>357</v>
      </c>
      <c r="C16" s="126">
        <v>0.20030000000000001</v>
      </c>
      <c r="D16" s="126">
        <v>0.22320000000000001</v>
      </c>
      <c r="E16" s="126">
        <v>0.21329999999999999</v>
      </c>
      <c r="F16" s="126">
        <v>0.20899999999999999</v>
      </c>
      <c r="G16" s="126">
        <v>0.19769999999999999</v>
      </c>
      <c r="H16" s="126">
        <v>0.21540000000000001</v>
      </c>
      <c r="I16" s="126">
        <v>0.16880000000000001</v>
      </c>
      <c r="J16" s="126">
        <v>0.17069999999999999</v>
      </c>
      <c r="K16" s="126">
        <v>0.1691</v>
      </c>
      <c r="L16" s="126">
        <v>0.1651</v>
      </c>
      <c r="M16" s="126">
        <v>0.1696</v>
      </c>
      <c r="N16" s="126">
        <v>0.16980000000000001</v>
      </c>
      <c r="O16" s="126">
        <v>0.16500000000000001</v>
      </c>
      <c r="P16" s="126">
        <v>0.16320000000000001</v>
      </c>
      <c r="Q16" s="126">
        <v>0.15629999999999999</v>
      </c>
      <c r="R16" s="126">
        <v>0.1512</v>
      </c>
      <c r="S16" s="126">
        <v>0.13969999999999999</v>
      </c>
      <c r="T16" s="126">
        <v>0.12859999999999999</v>
      </c>
      <c r="U16" s="126">
        <v>0.1212</v>
      </c>
      <c r="V16" s="126" t="s">
        <v>531</v>
      </c>
      <c r="W16" s="126">
        <v>0.11278872013591272</v>
      </c>
      <c r="X16" s="126">
        <v>0.1104</v>
      </c>
      <c r="Y16" s="126">
        <v>0.1169</v>
      </c>
      <c r="Z16" s="126">
        <v>0.13489999999999999</v>
      </c>
      <c r="AA16" s="126">
        <v>0.14729999999999999</v>
      </c>
      <c r="AB16" s="126">
        <v>0.14912752663394271</v>
      </c>
      <c r="AC16" s="126">
        <v>0.1426</v>
      </c>
      <c r="AD16" s="126">
        <v>0.153</v>
      </c>
      <c r="AE16" s="126">
        <v>0.1482</v>
      </c>
      <c r="AF16" s="126">
        <v>0.1515</v>
      </c>
    </row>
    <row r="17" spans="1:32" s="1" customFormat="1" ht="12.5" thickBot="1">
      <c r="A17" s="107" t="s">
        <v>338</v>
      </c>
      <c r="B17" s="107" t="s">
        <v>355</v>
      </c>
      <c r="C17" s="127">
        <v>0.14560000000000001</v>
      </c>
      <c r="D17" s="127">
        <v>0.15179999999999999</v>
      </c>
      <c r="E17" s="128">
        <v>0.15179999999999999</v>
      </c>
      <c r="F17" s="128">
        <v>0.14935000000000001</v>
      </c>
      <c r="G17" s="128">
        <v>0.15579999999999999</v>
      </c>
      <c r="H17" s="128">
        <v>0.16200000000000001</v>
      </c>
      <c r="I17" s="128">
        <v>0.16200000000000001</v>
      </c>
      <c r="J17" s="128">
        <v>0.16200000000000001</v>
      </c>
      <c r="K17" s="128">
        <v>0.1515</v>
      </c>
      <c r="L17" s="128">
        <v>0.1215</v>
      </c>
      <c r="M17" s="128">
        <v>0.1215</v>
      </c>
      <c r="N17" s="128">
        <v>0.1215</v>
      </c>
      <c r="O17" s="128">
        <v>0.11269999999999999</v>
      </c>
      <c r="P17" s="128">
        <v>0.11269999999999999</v>
      </c>
      <c r="Q17" s="128">
        <v>0.11269999999999999</v>
      </c>
      <c r="R17" s="128">
        <v>0.11269999999999999</v>
      </c>
      <c r="S17" s="128">
        <v>0.1084</v>
      </c>
      <c r="T17" s="128">
        <v>0.1084</v>
      </c>
      <c r="U17" s="128">
        <v>0.1084</v>
      </c>
      <c r="V17" s="128">
        <v>0.1084</v>
      </c>
      <c r="W17" s="128">
        <v>0.1021</v>
      </c>
      <c r="X17" s="128">
        <v>0.1021</v>
      </c>
      <c r="Y17" s="128">
        <v>0.1021</v>
      </c>
      <c r="Z17" s="128">
        <v>0.10205</v>
      </c>
      <c r="AA17" s="128">
        <v>9.8500000000000004E-2</v>
      </c>
      <c r="AB17" s="128">
        <v>9.8500000000000004E-2</v>
      </c>
      <c r="AC17" s="128">
        <v>9.8500000000000004E-2</v>
      </c>
      <c r="AD17" s="128">
        <v>9.8500000000000004E-2</v>
      </c>
      <c r="AE17" s="128">
        <v>9.8500000000000004E-2</v>
      </c>
      <c r="AF17" s="128">
        <v>8.7499999999999994E-2</v>
      </c>
    </row>
    <row r="18" spans="1:32" s="1" customFormat="1" ht="24.5" thickBot="1">
      <c r="A18" s="107" t="s">
        <v>341</v>
      </c>
      <c r="B18" s="107" t="s">
        <v>358</v>
      </c>
      <c r="C18" s="129" t="s">
        <v>414</v>
      </c>
      <c r="D18" s="129" t="s">
        <v>415</v>
      </c>
      <c r="E18" s="130" t="s">
        <v>416</v>
      </c>
      <c r="F18" s="130" t="s">
        <v>417</v>
      </c>
      <c r="G18" s="130" t="s">
        <v>418</v>
      </c>
      <c r="H18" s="130" t="s">
        <v>419</v>
      </c>
      <c r="I18" s="130" t="s">
        <v>420</v>
      </c>
      <c r="J18" s="130" t="s">
        <v>421</v>
      </c>
      <c r="K18" s="130" t="s">
        <v>422</v>
      </c>
      <c r="L18" s="130" t="s">
        <v>423</v>
      </c>
      <c r="M18" s="130" t="s">
        <v>473</v>
      </c>
      <c r="N18" s="130" t="s">
        <v>478</v>
      </c>
      <c r="O18" s="130" t="s">
        <v>483</v>
      </c>
      <c r="P18" s="130" t="s">
        <v>492</v>
      </c>
      <c r="Q18" s="130" t="s">
        <v>423</v>
      </c>
      <c r="R18" s="130" t="s">
        <v>509</v>
      </c>
      <c r="S18" s="130" t="s">
        <v>514</v>
      </c>
      <c r="T18" s="130" t="s">
        <v>518</v>
      </c>
      <c r="U18" s="130" t="s">
        <v>521</v>
      </c>
      <c r="V18" s="130" t="s">
        <v>545</v>
      </c>
      <c r="W18" s="130" t="s">
        <v>546</v>
      </c>
      <c r="X18" s="130" t="s">
        <v>550</v>
      </c>
      <c r="Y18" s="130" t="s">
        <v>659</v>
      </c>
      <c r="Z18" s="130" t="s">
        <v>660</v>
      </c>
      <c r="AA18" s="130" t="s">
        <v>665</v>
      </c>
      <c r="AB18" s="130" t="s">
        <v>671</v>
      </c>
      <c r="AC18" s="130" t="s">
        <v>676</v>
      </c>
      <c r="AD18" s="130" t="s">
        <v>679</v>
      </c>
      <c r="AE18" s="130" t="s">
        <v>689</v>
      </c>
      <c r="AF18" s="130" t="s">
        <v>693</v>
      </c>
    </row>
    <row r="19" spans="1:32" s="1" customFormat="1" ht="24.5" thickBot="1">
      <c r="A19" s="113" t="s">
        <v>342</v>
      </c>
      <c r="B19" s="113" t="s">
        <v>359</v>
      </c>
      <c r="C19" s="126">
        <v>0.20030000000000001</v>
      </c>
      <c r="D19" s="126">
        <v>0.22320000000000001</v>
      </c>
      <c r="E19" s="126">
        <v>0.21329999999999999</v>
      </c>
      <c r="F19" s="126">
        <v>0.20899999999999999</v>
      </c>
      <c r="G19" s="126">
        <v>0.19769999999999999</v>
      </c>
      <c r="H19" s="126">
        <v>0.21540000000000001</v>
      </c>
      <c r="I19" s="126">
        <v>0.16880000000000001</v>
      </c>
      <c r="J19" s="126">
        <v>0.17069999999999999</v>
      </c>
      <c r="K19" s="126">
        <v>0.1691</v>
      </c>
      <c r="L19" s="126">
        <v>0.1651</v>
      </c>
      <c r="M19" s="126">
        <v>0.1696</v>
      </c>
      <c r="N19" s="126">
        <v>0.16980000000000001</v>
      </c>
      <c r="O19" s="126">
        <v>0.16500000000000001</v>
      </c>
      <c r="P19" s="126">
        <v>0.16320000000000001</v>
      </c>
      <c r="Q19" s="126">
        <v>0.15629999999999999</v>
      </c>
      <c r="R19" s="126">
        <v>0.1512</v>
      </c>
      <c r="S19" s="126">
        <v>0.13969999999999999</v>
      </c>
      <c r="T19" s="126">
        <v>0.12859999999999999</v>
      </c>
      <c r="U19" s="126">
        <v>0.1212</v>
      </c>
      <c r="V19" s="126">
        <v>9.4500000000000001E-2</v>
      </c>
      <c r="W19" s="126">
        <v>0.11278872733219165</v>
      </c>
      <c r="X19" s="126">
        <v>0.1104</v>
      </c>
      <c r="Y19" s="126">
        <v>0.1169</v>
      </c>
      <c r="Z19" s="126">
        <v>0.13489999999999999</v>
      </c>
      <c r="AA19" s="126">
        <v>0.14729999999999999</v>
      </c>
      <c r="AB19" s="126">
        <v>0.14912752663394271</v>
      </c>
      <c r="AC19" s="126">
        <v>0.1426</v>
      </c>
      <c r="AD19" s="126">
        <v>0.153</v>
      </c>
      <c r="AE19" s="126">
        <v>0.1482</v>
      </c>
      <c r="AF19" s="126">
        <v>0.1515</v>
      </c>
    </row>
    <row r="20" spans="1:32" s="1" customFormat="1" ht="12.5" thickBot="1">
      <c r="A20" s="107" t="s">
        <v>338</v>
      </c>
      <c r="B20" s="107" t="s">
        <v>355</v>
      </c>
      <c r="C20" s="128">
        <v>0.1353</v>
      </c>
      <c r="D20" s="128">
        <v>0.12659999999999999</v>
      </c>
      <c r="E20" s="128">
        <v>0.12659999999999999</v>
      </c>
      <c r="F20" s="128">
        <v>0.12404999999999999</v>
      </c>
      <c r="G20" s="128">
        <v>0.12889999999999999</v>
      </c>
      <c r="H20" s="128">
        <v>0.1351</v>
      </c>
      <c r="I20" s="128">
        <v>0.1351</v>
      </c>
      <c r="J20" s="128">
        <v>0.1351</v>
      </c>
      <c r="K20" s="128">
        <v>0.1273</v>
      </c>
      <c r="L20" s="128">
        <v>9.7299999999999998E-2</v>
      </c>
      <c r="M20" s="128">
        <v>9.7299999999999998E-2</v>
      </c>
      <c r="N20" s="128">
        <v>9.7299999999999998E-2</v>
      </c>
      <c r="O20" s="128">
        <v>9.1300000000000006E-2</v>
      </c>
      <c r="P20" s="128">
        <v>9.1300000000000006E-2</v>
      </c>
      <c r="Q20" s="128">
        <v>9.1300000000000006E-2</v>
      </c>
      <c r="R20" s="128">
        <v>9.1300000000000006E-2</v>
      </c>
      <c r="S20" s="128">
        <v>8.8099999999999998E-2</v>
      </c>
      <c r="T20" s="128">
        <v>8.8099999999999998E-2</v>
      </c>
      <c r="U20" s="128">
        <v>8.8099999999999998E-2</v>
      </c>
      <c r="V20" s="128">
        <v>8.8099999999999998E-2</v>
      </c>
      <c r="W20" s="128">
        <v>8.3400000000000002E-2</v>
      </c>
      <c r="X20" s="128">
        <v>8.3400000000000002E-2</v>
      </c>
      <c r="Y20" s="128">
        <v>8.3400000000000002E-2</v>
      </c>
      <c r="Z20" s="128">
        <v>8.3412500000000001E-2</v>
      </c>
      <c r="AA20" s="128">
        <v>8.0699999999999994E-2</v>
      </c>
      <c r="AB20" s="128">
        <v>8.0699999999999994E-2</v>
      </c>
      <c r="AC20" s="128">
        <v>8.0699999999999994E-2</v>
      </c>
      <c r="AD20" s="128">
        <v>8.0699999999999994E-2</v>
      </c>
      <c r="AE20" s="128">
        <v>8.0699999999999994E-2</v>
      </c>
      <c r="AF20" s="128">
        <v>7.2499999999999995E-2</v>
      </c>
    </row>
    <row r="21" spans="1:32" s="1" customFormat="1" ht="12.5" thickBot="1">
      <c r="A21" s="107"/>
      <c r="B21" s="107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</row>
    <row r="22" spans="1:32" s="1" customFormat="1" ht="12.5" thickBot="1">
      <c r="A22" s="114" t="s">
        <v>343</v>
      </c>
      <c r="B22" s="114" t="s">
        <v>360</v>
      </c>
      <c r="C22" s="131">
        <v>8.9399999999999993E-2</v>
      </c>
      <c r="D22" s="131">
        <v>9.8100000000000007E-2</v>
      </c>
      <c r="E22" s="131">
        <v>9.7799999999999998E-2</v>
      </c>
      <c r="F22" s="131">
        <v>9.6199999999999994E-2</v>
      </c>
      <c r="G22" s="131">
        <v>8.7800000000000003E-2</v>
      </c>
      <c r="H22" s="131">
        <v>9.6199999999999994E-2</v>
      </c>
      <c r="I22" s="131">
        <v>8.3099999999999993E-2</v>
      </c>
      <c r="J22" s="131">
        <v>8.2699999999999996E-2</v>
      </c>
      <c r="K22" s="131">
        <v>8.1100000000000005E-2</v>
      </c>
      <c r="L22" s="131">
        <v>7.9899999999999999E-2</v>
      </c>
      <c r="M22" s="131">
        <v>8.0299999999999996E-2</v>
      </c>
      <c r="N22" s="131">
        <v>8.0799999999999997E-2</v>
      </c>
      <c r="O22" s="131">
        <v>8.3000000000000004E-2</v>
      </c>
      <c r="P22" s="131">
        <v>7.6200000000000004E-2</v>
      </c>
      <c r="Q22" s="131">
        <v>7.5999999999999998E-2</v>
      </c>
      <c r="R22" s="131">
        <v>7.0900000000000005E-2</v>
      </c>
      <c r="S22" s="131">
        <v>6.4600000000000005E-2</v>
      </c>
      <c r="T22" s="131">
        <v>5.6599999999999998E-2</v>
      </c>
      <c r="U22" s="131">
        <v>5.4100000000000002E-2</v>
      </c>
      <c r="V22" s="131">
        <v>4.2799999999999998E-2</v>
      </c>
      <c r="W22" s="131">
        <v>4.7199999999999999E-2</v>
      </c>
      <c r="X22" s="131">
        <v>4.4699999999999997E-2</v>
      </c>
      <c r="Y22" s="131">
        <v>4.5999999999999999E-2</v>
      </c>
      <c r="Z22" s="131">
        <v>4.7199999999999999E-2</v>
      </c>
      <c r="AA22" s="131">
        <v>4.6600000000000003E-2</v>
      </c>
      <c r="AB22" s="131">
        <v>4.6399999999999997E-2</v>
      </c>
      <c r="AC22" s="131">
        <v>4.41E-2</v>
      </c>
      <c r="AD22" s="131">
        <v>4.82E-2</v>
      </c>
      <c r="AE22" s="131">
        <v>4.6399999999999997E-2</v>
      </c>
      <c r="AF22" s="131">
        <v>4.7699999999999999E-2</v>
      </c>
    </row>
    <row r="24" spans="1:32">
      <c r="T24" s="132"/>
      <c r="U24" s="132"/>
      <c r="V24" s="132"/>
    </row>
    <row r="28" spans="1:32">
      <c r="D28" s="132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W66"/>
  <sheetViews>
    <sheetView zoomScale="80" zoomScaleNormal="80" workbookViewId="0">
      <pane xSplit="2" ySplit="4" topLeftCell="AF5" activePane="bottomRight" state="frozenSplit"/>
      <selection pane="topRight" activeCell="C1" sqref="C1"/>
      <selection pane="bottomLeft" activeCell="A4" sqref="A4"/>
      <selection pane="bottomRight"/>
    </sheetView>
  </sheetViews>
  <sheetFormatPr defaultRowHeight="14.5" outlineLevelCol="1"/>
  <cols>
    <col min="1" max="1" width="35.75" customWidth="1"/>
    <col min="2" max="2" width="45.58203125" customWidth="1"/>
    <col min="3" max="3" width="10.75" hidden="1" customWidth="1" outlineLevel="1"/>
    <col min="4" max="4" width="11.08203125" hidden="1" customWidth="1" outlineLevel="1"/>
    <col min="5" max="7" width="10.75" hidden="1" customWidth="1" outlineLevel="1"/>
    <col min="8" max="8" width="10.75" customWidth="1" collapsed="1"/>
    <col min="9" max="9" width="10.33203125" customWidth="1"/>
    <col min="10" max="15" width="10.75" customWidth="1"/>
    <col min="16" max="27" width="11.75" customWidth="1"/>
    <col min="28" max="29" width="10.75" customWidth="1"/>
    <col min="30" max="36" width="11.33203125" customWidth="1"/>
    <col min="37" max="37" width="26.08203125" customWidth="1"/>
    <col min="38" max="40" width="10.75" customWidth="1"/>
    <col min="41" max="41" width="4.25" customWidth="1"/>
    <col min="42" max="42" width="7.08203125" customWidth="1"/>
  </cols>
  <sheetData>
    <row r="1" spans="1:48" ht="15.5">
      <c r="A1" s="39" t="s">
        <v>258</v>
      </c>
      <c r="AJ1" s="262"/>
      <c r="AS1" s="69"/>
      <c r="AT1" s="69"/>
    </row>
    <row r="2" spans="1:48" ht="15.5">
      <c r="A2" s="39" t="s">
        <v>372</v>
      </c>
      <c r="B2" s="42"/>
      <c r="C2" s="42"/>
      <c r="D2" s="42"/>
      <c r="E2" s="42"/>
      <c r="AJ2" s="262"/>
      <c r="AS2" s="69"/>
      <c r="AT2" s="69"/>
    </row>
    <row r="3" spans="1:48" s="119" customFormat="1">
      <c r="A3" s="98" t="s">
        <v>389</v>
      </c>
      <c r="B3" s="98" t="s">
        <v>99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S3" s="120"/>
      <c r="AT3" s="120"/>
    </row>
    <row r="4" spans="1:48" s="119" customFormat="1" ht="24">
      <c r="A4" s="118" t="s">
        <v>284</v>
      </c>
      <c r="B4" s="118" t="s">
        <v>368</v>
      </c>
      <c r="C4" s="118"/>
      <c r="D4" s="115" t="s">
        <v>179</v>
      </c>
      <c r="E4" s="115" t="s">
        <v>182</v>
      </c>
      <c r="F4" s="115" t="s">
        <v>185</v>
      </c>
      <c r="G4" s="115" t="s">
        <v>257</v>
      </c>
      <c r="H4" s="115" t="s">
        <v>192</v>
      </c>
      <c r="I4" s="115" t="s">
        <v>263</v>
      </c>
      <c r="J4" s="115" t="s">
        <v>298</v>
      </c>
      <c r="K4" s="115" t="s">
        <v>303</v>
      </c>
      <c r="L4" s="115" t="s">
        <v>307</v>
      </c>
      <c r="M4" s="115" t="s">
        <v>318</v>
      </c>
      <c r="N4" s="115" t="s">
        <v>323</v>
      </c>
      <c r="O4" s="115" t="s">
        <v>329</v>
      </c>
      <c r="P4" s="115" t="s">
        <v>400</v>
      </c>
      <c r="Q4" s="115" t="s">
        <v>470</v>
      </c>
      <c r="R4" s="115" t="s">
        <v>475</v>
      </c>
      <c r="S4" s="115" t="s">
        <v>484</v>
      </c>
      <c r="T4" s="115" t="s">
        <v>489</v>
      </c>
      <c r="U4" s="115" t="s">
        <v>493</v>
      </c>
      <c r="V4" s="115" t="s">
        <v>505</v>
      </c>
      <c r="W4" s="115" t="s">
        <v>510</v>
      </c>
      <c r="X4" s="115" t="s">
        <v>515</v>
      </c>
      <c r="Y4" s="115" t="s">
        <v>523</v>
      </c>
      <c r="Z4" s="115" t="s">
        <v>527</v>
      </c>
      <c r="AA4" s="115" t="s">
        <v>533</v>
      </c>
      <c r="AB4" s="115" t="s">
        <v>547</v>
      </c>
      <c r="AC4" s="115" t="s">
        <v>648</v>
      </c>
      <c r="AD4" s="115" t="s">
        <v>652</v>
      </c>
      <c r="AE4" s="115" t="s">
        <v>661</v>
      </c>
      <c r="AF4" s="115" t="s">
        <v>666</v>
      </c>
      <c r="AG4" s="115" t="s">
        <v>672</v>
      </c>
      <c r="AH4" s="115" t="s">
        <v>680</v>
      </c>
      <c r="AI4" s="115" t="s">
        <v>685</v>
      </c>
      <c r="AJ4" s="115" t="s">
        <v>690</v>
      </c>
      <c r="AK4" s="124"/>
      <c r="AU4" s="120"/>
      <c r="AV4" s="120"/>
    </row>
    <row r="5" spans="1:48" ht="24.5" thickBot="1">
      <c r="A5" s="77" t="s">
        <v>277</v>
      </c>
      <c r="B5" s="60" t="s">
        <v>268</v>
      </c>
      <c r="C5" s="60"/>
      <c r="D5" s="76">
        <f t="shared" ref="D5:AJ5" si="0">+D6</f>
        <v>81289</v>
      </c>
      <c r="E5" s="76">
        <f t="shared" si="0"/>
        <v>79460</v>
      </c>
      <c r="F5" s="76">
        <f t="shared" si="0"/>
        <v>84785</v>
      </c>
      <c r="G5" s="76">
        <f t="shared" si="0"/>
        <v>82616</v>
      </c>
      <c r="H5" s="76">
        <f t="shared" si="0"/>
        <v>88336</v>
      </c>
      <c r="I5" s="76">
        <f t="shared" si="0"/>
        <v>85846</v>
      </c>
      <c r="J5" s="76">
        <f t="shared" si="0"/>
        <v>83353</v>
      </c>
      <c r="K5" s="76">
        <f t="shared" si="0"/>
        <v>94862</v>
      </c>
      <c r="L5" s="76">
        <f t="shared" si="0"/>
        <v>105093</v>
      </c>
      <c r="M5" s="76">
        <f t="shared" si="0"/>
        <v>94020</v>
      </c>
      <c r="N5" s="76">
        <f t="shared" si="0"/>
        <v>94659</v>
      </c>
      <c r="O5" s="76">
        <f t="shared" si="0"/>
        <v>100961</v>
      </c>
      <c r="P5" s="76">
        <f t="shared" si="0"/>
        <v>102120</v>
      </c>
      <c r="Q5" s="76">
        <f t="shared" si="0"/>
        <v>93890</v>
      </c>
      <c r="R5" s="76">
        <f t="shared" si="0"/>
        <v>68191</v>
      </c>
      <c r="S5" s="76">
        <f t="shared" si="0"/>
        <v>49251</v>
      </c>
      <c r="T5" s="76">
        <f t="shared" si="0"/>
        <v>37009</v>
      </c>
      <c r="U5" s="76">
        <f t="shared" si="0"/>
        <v>36466</v>
      </c>
      <c r="V5" s="76">
        <f t="shared" si="0"/>
        <v>33350</v>
      </c>
      <c r="W5" s="76">
        <f t="shared" si="0"/>
        <v>50729</v>
      </c>
      <c r="X5" s="76">
        <f t="shared" si="0"/>
        <v>81986</v>
      </c>
      <c r="Y5" s="76">
        <f t="shared" si="0"/>
        <v>115984</v>
      </c>
      <c r="Z5" s="76">
        <f t="shared" si="0"/>
        <v>133738</v>
      </c>
      <c r="AA5" s="76">
        <f t="shared" si="0"/>
        <v>136867</v>
      </c>
      <c r="AB5" s="76">
        <f t="shared" si="0"/>
        <v>250011</v>
      </c>
      <c r="AC5" s="76">
        <f t="shared" si="0"/>
        <v>196728</v>
      </c>
      <c r="AD5" s="76">
        <f t="shared" si="0"/>
        <v>201946</v>
      </c>
      <c r="AE5" s="76">
        <f t="shared" si="0"/>
        <v>231272</v>
      </c>
      <c r="AF5" s="76">
        <f t="shared" si="0"/>
        <v>302107</v>
      </c>
      <c r="AG5" s="76">
        <f t="shared" si="0"/>
        <v>335726</v>
      </c>
      <c r="AH5" s="76">
        <f t="shared" si="0"/>
        <v>357613</v>
      </c>
      <c r="AI5" s="76">
        <f t="shared" si="0"/>
        <v>355554</v>
      </c>
      <c r="AJ5" s="76">
        <f t="shared" si="0"/>
        <v>402716</v>
      </c>
      <c r="AK5" s="124"/>
      <c r="AU5" s="69"/>
      <c r="AV5" s="69"/>
    </row>
    <row r="6" spans="1:48" ht="15" thickBot="1">
      <c r="A6" s="72" t="s">
        <v>17</v>
      </c>
      <c r="B6" s="63" t="s">
        <v>226</v>
      </c>
      <c r="C6" s="63"/>
      <c r="D6" s="78">
        <v>81289</v>
      </c>
      <c r="E6" s="78">
        <v>79460</v>
      </c>
      <c r="F6" s="78">
        <v>84785</v>
      </c>
      <c r="G6" s="78">
        <v>82616</v>
      </c>
      <c r="H6" s="78">
        <v>88336</v>
      </c>
      <c r="I6" s="78">
        <v>85846</v>
      </c>
      <c r="J6" s="78">
        <f>+J38-I38</f>
        <v>83353</v>
      </c>
      <c r="K6" s="78">
        <f>+K38-J38</f>
        <v>94862</v>
      </c>
      <c r="L6" s="78">
        <f>+L38</f>
        <v>105093</v>
      </c>
      <c r="M6" s="78">
        <f>+M38-L6</f>
        <v>94020</v>
      </c>
      <c r="N6" s="78">
        <f>+N38-M38</f>
        <v>94659</v>
      </c>
      <c r="O6" s="78">
        <f>+O38-N38</f>
        <v>100961</v>
      </c>
      <c r="P6" s="78">
        <f>+P38</f>
        <v>102120</v>
      </c>
      <c r="Q6" s="78">
        <f>+Q38-P38</f>
        <v>93890</v>
      </c>
      <c r="R6" s="78">
        <f>+R38-Q38</f>
        <v>68191</v>
      </c>
      <c r="S6" s="78">
        <f>+S38-R38</f>
        <v>49251</v>
      </c>
      <c r="T6" s="78">
        <f>+T38</f>
        <v>37009</v>
      </c>
      <c r="U6" s="78">
        <f>+U38-T38</f>
        <v>36466</v>
      </c>
      <c r="V6" s="78">
        <f>+V38-U38</f>
        <v>33350</v>
      </c>
      <c r="W6" s="78">
        <f>+W38-V38</f>
        <v>50729</v>
      </c>
      <c r="X6" s="78">
        <f>+X38</f>
        <v>81986</v>
      </c>
      <c r="Y6" s="78">
        <f>+Y38-X38</f>
        <v>115984</v>
      </c>
      <c r="Z6" s="78">
        <f>+Z38-Y38</f>
        <v>133738</v>
      </c>
      <c r="AA6" s="78">
        <f>+AA38-Z38</f>
        <v>136867</v>
      </c>
      <c r="AB6" s="78">
        <f>+AB38</f>
        <v>250011</v>
      </c>
      <c r="AC6" s="78">
        <f>+AC38-AB38</f>
        <v>196728</v>
      </c>
      <c r="AD6" s="78">
        <f>+AD38-AC38</f>
        <v>201946</v>
      </c>
      <c r="AE6" s="78">
        <f>+AE38-AD38</f>
        <v>231272</v>
      </c>
      <c r="AF6" s="78">
        <f>+AF38</f>
        <v>302107</v>
      </c>
      <c r="AG6" s="78">
        <f>+AG38-AF38</f>
        <v>335726</v>
      </c>
      <c r="AH6" s="78">
        <f>+AH38-AG38</f>
        <v>357613</v>
      </c>
      <c r="AI6" s="78">
        <f>+AI38-AH38</f>
        <v>355554</v>
      </c>
      <c r="AJ6" s="78">
        <f>+AJ38</f>
        <v>402716</v>
      </c>
      <c r="AK6" s="124"/>
      <c r="AU6" s="69"/>
      <c r="AV6" s="69"/>
    </row>
    <row r="7" spans="1:48" ht="24.5" thickBot="1">
      <c r="A7" s="77" t="s">
        <v>278</v>
      </c>
      <c r="B7" s="60" t="s">
        <v>269</v>
      </c>
      <c r="C7" s="60"/>
      <c r="D7" s="76">
        <f>+D8+D9+D10+D11+D12+D13</f>
        <v>492984</v>
      </c>
      <c r="E7" s="76">
        <f t="shared" ref="E7:AH7" si="1">+E8+E9+E10+E11+E12+E13</f>
        <v>511542</v>
      </c>
      <c r="F7" s="76">
        <f t="shared" si="1"/>
        <v>526480</v>
      </c>
      <c r="G7" s="76">
        <f t="shared" si="1"/>
        <v>530193</v>
      </c>
      <c r="H7" s="76">
        <f t="shared" si="1"/>
        <v>493873</v>
      </c>
      <c r="I7" s="76">
        <f t="shared" si="1"/>
        <v>510110</v>
      </c>
      <c r="J7" s="76">
        <f t="shared" si="1"/>
        <v>533648</v>
      </c>
      <c r="K7" s="76">
        <f t="shared" si="1"/>
        <v>555227</v>
      </c>
      <c r="L7" s="76">
        <f t="shared" si="1"/>
        <v>558697</v>
      </c>
      <c r="M7" s="76">
        <f t="shared" si="1"/>
        <v>669088</v>
      </c>
      <c r="N7" s="76">
        <f t="shared" si="1"/>
        <v>812995</v>
      </c>
      <c r="O7" s="76">
        <f t="shared" si="1"/>
        <v>812127</v>
      </c>
      <c r="P7" s="76">
        <f t="shared" si="1"/>
        <v>793067</v>
      </c>
      <c r="Q7" s="76">
        <f t="shared" si="1"/>
        <v>701332</v>
      </c>
      <c r="R7" s="76">
        <f t="shared" si="1"/>
        <v>612538</v>
      </c>
      <c r="S7" s="76">
        <f t="shared" si="1"/>
        <v>597735</v>
      </c>
      <c r="T7" s="76">
        <f t="shared" si="1"/>
        <v>598294</v>
      </c>
      <c r="U7" s="76">
        <f t="shared" si="1"/>
        <v>627071</v>
      </c>
      <c r="V7" s="76">
        <f t="shared" si="1"/>
        <v>645549</v>
      </c>
      <c r="W7" s="76">
        <f t="shared" si="1"/>
        <v>749737</v>
      </c>
      <c r="X7" s="76">
        <f t="shared" si="1"/>
        <v>983668</v>
      </c>
      <c r="Y7" s="76">
        <f t="shared" si="1"/>
        <v>1401000</v>
      </c>
      <c r="Z7" s="76">
        <f t="shared" si="1"/>
        <v>288864</v>
      </c>
      <c r="AA7" s="76">
        <f t="shared" si="1"/>
        <v>1886587</v>
      </c>
      <c r="AB7" s="76">
        <f t="shared" si="1"/>
        <v>1797093</v>
      </c>
      <c r="AC7" s="76">
        <f t="shared" si="1"/>
        <v>1864984</v>
      </c>
      <c r="AD7" s="76">
        <f t="shared" si="1"/>
        <v>1930244</v>
      </c>
      <c r="AE7" s="76">
        <f t="shared" si="1"/>
        <v>1854565</v>
      </c>
      <c r="AF7" s="76">
        <f t="shared" si="1"/>
        <v>1837987</v>
      </c>
      <c r="AG7" s="76">
        <f t="shared" si="1"/>
        <v>1641013</v>
      </c>
      <c r="AH7" s="76">
        <f t="shared" si="1"/>
        <v>1932939</v>
      </c>
      <c r="AI7" s="76">
        <f t="shared" ref="AI7:AJ7" si="2">+AI8+AI9+AI10+AI11+AI12+AI13</f>
        <v>1958801</v>
      </c>
      <c r="AJ7" s="76">
        <f t="shared" si="2"/>
        <v>1853919</v>
      </c>
      <c r="AK7" s="124"/>
      <c r="AU7" s="69"/>
      <c r="AV7" s="69"/>
    </row>
    <row r="8" spans="1:48" ht="15" thickBot="1">
      <c r="A8" s="72" t="s">
        <v>259</v>
      </c>
      <c r="B8" s="63" t="s">
        <v>270</v>
      </c>
      <c r="C8" s="63"/>
      <c r="D8" s="78">
        <v>6492</v>
      </c>
      <c r="E8" s="78">
        <v>6815</v>
      </c>
      <c r="F8" s="78">
        <v>7060</v>
      </c>
      <c r="G8" s="78">
        <v>6855</v>
      </c>
      <c r="H8" s="78">
        <v>2589</v>
      </c>
      <c r="I8" s="78">
        <v>2618</v>
      </c>
      <c r="J8" s="78">
        <f t="shared" ref="J8:K13" si="3">+J40-I40</f>
        <v>2622</v>
      </c>
      <c r="K8" s="78">
        <f t="shared" si="3"/>
        <v>2699</v>
      </c>
      <c r="L8" s="78">
        <f t="shared" ref="L8:L13" si="4">+L40</f>
        <v>2860</v>
      </c>
      <c r="M8" s="78">
        <f t="shared" ref="M8:M13" si="5">+M40-L8</f>
        <v>3078</v>
      </c>
      <c r="N8" s="78">
        <f t="shared" ref="N8:O13" si="6">+N40-M40</f>
        <v>3342</v>
      </c>
      <c r="O8" s="78">
        <f t="shared" si="6"/>
        <v>3499</v>
      </c>
      <c r="P8" s="78">
        <f t="shared" ref="P8:P13" si="7">+P40</f>
        <v>3637</v>
      </c>
      <c r="Q8" s="78">
        <f t="shared" ref="Q8:S13" si="8">+Q40-P40</f>
        <v>1432</v>
      </c>
      <c r="R8" s="78">
        <f t="shared" si="8"/>
        <v>79</v>
      </c>
      <c r="S8" s="78">
        <f t="shared" si="8"/>
        <v>104</v>
      </c>
      <c r="T8" s="78">
        <f t="shared" ref="T8:T13" si="9">+T40</f>
        <v>100</v>
      </c>
      <c r="U8" s="78">
        <f t="shared" ref="U8:W13" si="10">+U40-T40</f>
        <v>106</v>
      </c>
      <c r="V8" s="78">
        <f t="shared" si="10"/>
        <v>109</v>
      </c>
      <c r="W8" s="78">
        <f t="shared" si="10"/>
        <v>3438</v>
      </c>
      <c r="X8" s="78">
        <f t="shared" ref="X8:X13" si="11">+X40</f>
        <v>12837</v>
      </c>
      <c r="Y8" s="78">
        <f t="shared" ref="Y8:AA13" si="12">+Y40-X40</f>
        <v>41311</v>
      </c>
      <c r="Z8" s="78">
        <f t="shared" si="12"/>
        <v>54026</v>
      </c>
      <c r="AA8" s="78">
        <f t="shared" si="12"/>
        <v>58195</v>
      </c>
      <c r="AB8" s="78">
        <f t="shared" ref="AB8:AB13" si="13">+AB40</f>
        <v>55573</v>
      </c>
      <c r="AC8" s="78">
        <f t="shared" ref="AC8:AE13" si="14">+AC40-AB40</f>
        <v>58401</v>
      </c>
      <c r="AD8" s="78">
        <f t="shared" si="14"/>
        <v>56492</v>
      </c>
      <c r="AE8" s="78">
        <f t="shared" si="14"/>
        <v>51811</v>
      </c>
      <c r="AF8" s="78">
        <f t="shared" ref="AF8:AF13" si="15">+AF40</f>
        <v>52759</v>
      </c>
      <c r="AG8" s="78">
        <f t="shared" ref="AG8:AI13" si="16">+AG40-AF40</f>
        <v>54270</v>
      </c>
      <c r="AH8" s="78">
        <f t="shared" si="16"/>
        <v>56661</v>
      </c>
      <c r="AI8" s="78">
        <f t="shared" si="16"/>
        <v>59611</v>
      </c>
      <c r="AJ8" s="78">
        <f t="shared" ref="AJ8:AJ13" si="17">+AJ40</f>
        <v>56122</v>
      </c>
      <c r="AK8" s="124"/>
      <c r="AU8" s="69"/>
      <c r="AV8" s="69"/>
    </row>
    <row r="9" spans="1:48" ht="15" thickBot="1">
      <c r="A9" s="72" t="s">
        <v>540</v>
      </c>
      <c r="B9" s="63" t="s">
        <v>541</v>
      </c>
      <c r="C9" s="63"/>
      <c r="D9" s="78">
        <v>406659</v>
      </c>
      <c r="E9" s="78">
        <v>423463</v>
      </c>
      <c r="F9" s="78">
        <v>440855</v>
      </c>
      <c r="G9" s="78">
        <v>448449</v>
      </c>
      <c r="H9" s="78">
        <v>421510</v>
      </c>
      <c r="I9" s="78">
        <v>441297</v>
      </c>
      <c r="J9" s="78">
        <f t="shared" si="3"/>
        <v>461593</v>
      </c>
      <c r="K9" s="78">
        <f t="shared" si="3"/>
        <v>482604</v>
      </c>
      <c r="L9" s="78">
        <f t="shared" si="4"/>
        <v>488624</v>
      </c>
      <c r="M9" s="78">
        <f t="shared" si="5"/>
        <v>590783</v>
      </c>
      <c r="N9" s="78">
        <f t="shared" si="6"/>
        <v>737234</v>
      </c>
      <c r="O9" s="78">
        <f t="shared" si="6"/>
        <v>736406</v>
      </c>
      <c r="P9" s="78">
        <f t="shared" si="7"/>
        <v>718199</v>
      </c>
      <c r="Q9" s="78">
        <f t="shared" si="8"/>
        <v>645409</v>
      </c>
      <c r="R9" s="78">
        <f t="shared" si="8"/>
        <v>578781</v>
      </c>
      <c r="S9" s="78">
        <f t="shared" si="8"/>
        <v>570021</v>
      </c>
      <c r="T9" s="78">
        <f t="shared" si="9"/>
        <v>569973</v>
      </c>
      <c r="U9" s="78">
        <f t="shared" si="10"/>
        <v>601896</v>
      </c>
      <c r="V9" s="78">
        <f t="shared" si="10"/>
        <v>621981</v>
      </c>
      <c r="W9" s="78">
        <f t="shared" si="10"/>
        <v>718016</v>
      </c>
      <c r="X9" s="78">
        <f t="shared" si="11"/>
        <v>938577</v>
      </c>
      <c r="Y9" s="78">
        <f t="shared" si="12"/>
        <v>1294208</v>
      </c>
      <c r="Z9" s="175">
        <f t="shared" si="12"/>
        <v>167294</v>
      </c>
      <c r="AA9" s="175">
        <f t="shared" si="12"/>
        <v>1765728</v>
      </c>
      <c r="AB9" s="78">
        <f t="shared" si="13"/>
        <v>1641333</v>
      </c>
      <c r="AC9" s="78">
        <f t="shared" si="14"/>
        <v>1663645</v>
      </c>
      <c r="AD9" s="78">
        <f t="shared" si="14"/>
        <v>1684177</v>
      </c>
      <c r="AE9" s="175">
        <f t="shared" si="14"/>
        <v>1573196</v>
      </c>
      <c r="AF9" s="78">
        <f t="shared" si="15"/>
        <v>1534391</v>
      </c>
      <c r="AG9" s="175">
        <f t="shared" si="16"/>
        <v>1325725</v>
      </c>
      <c r="AH9" s="175">
        <f t="shared" si="16"/>
        <v>1605306</v>
      </c>
      <c r="AI9" s="175">
        <f t="shared" si="16"/>
        <v>1609001</v>
      </c>
      <c r="AJ9" s="78">
        <f t="shared" si="17"/>
        <v>1502653</v>
      </c>
      <c r="AK9" s="252"/>
      <c r="AU9" s="69"/>
      <c r="AV9" s="69"/>
    </row>
    <row r="10" spans="1:48" ht="15" thickBot="1">
      <c r="A10" s="72" t="s">
        <v>17</v>
      </c>
      <c r="B10" s="63" t="s">
        <v>226</v>
      </c>
      <c r="C10" s="63"/>
      <c r="D10" s="78">
        <v>0</v>
      </c>
      <c r="E10" s="78">
        <v>0</v>
      </c>
      <c r="F10" s="78">
        <v>0</v>
      </c>
      <c r="G10" s="78">
        <v>0</v>
      </c>
      <c r="H10" s="78">
        <v>364</v>
      </c>
      <c r="I10" s="78">
        <v>367</v>
      </c>
      <c r="J10" s="78">
        <f t="shared" si="3"/>
        <v>381</v>
      </c>
      <c r="K10" s="78">
        <f t="shared" si="3"/>
        <v>381</v>
      </c>
      <c r="L10" s="78">
        <f t="shared" si="4"/>
        <v>344</v>
      </c>
      <c r="M10" s="78">
        <f t="shared" si="5"/>
        <v>345</v>
      </c>
      <c r="N10" s="78">
        <f t="shared" si="6"/>
        <v>429</v>
      </c>
      <c r="O10" s="78">
        <f t="shared" si="6"/>
        <v>410</v>
      </c>
      <c r="P10" s="78">
        <f t="shared" si="7"/>
        <v>371</v>
      </c>
      <c r="Q10" s="78">
        <f t="shared" si="8"/>
        <v>340</v>
      </c>
      <c r="R10" s="78">
        <f t="shared" si="8"/>
        <v>187</v>
      </c>
      <c r="S10" s="78">
        <f t="shared" si="8"/>
        <v>167</v>
      </c>
      <c r="T10" s="78">
        <f t="shared" si="9"/>
        <v>151</v>
      </c>
      <c r="U10" s="78">
        <f t="shared" si="10"/>
        <v>150</v>
      </c>
      <c r="V10" s="78">
        <f t="shared" si="10"/>
        <v>148</v>
      </c>
      <c r="W10" s="78">
        <f t="shared" si="10"/>
        <v>171</v>
      </c>
      <c r="X10" s="78">
        <f t="shared" si="11"/>
        <v>345</v>
      </c>
      <c r="Y10" s="78">
        <f t="shared" si="12"/>
        <v>19283</v>
      </c>
      <c r="Z10" s="78">
        <f t="shared" si="12"/>
        <v>26092</v>
      </c>
      <c r="AA10" s="78">
        <f t="shared" si="12"/>
        <v>39846</v>
      </c>
      <c r="AB10" s="78">
        <f t="shared" si="13"/>
        <v>73768</v>
      </c>
      <c r="AC10" s="78">
        <f t="shared" si="14"/>
        <v>122746</v>
      </c>
      <c r="AD10" s="78">
        <f t="shared" si="14"/>
        <v>165592</v>
      </c>
      <c r="AE10" s="78">
        <f t="shared" si="14"/>
        <v>197536</v>
      </c>
      <c r="AF10" s="78">
        <f t="shared" si="15"/>
        <v>229824</v>
      </c>
      <c r="AG10" s="78">
        <f t="shared" si="16"/>
        <v>245239</v>
      </c>
      <c r="AH10" s="78">
        <f t="shared" si="16"/>
        <v>252307</v>
      </c>
      <c r="AI10" s="78">
        <f t="shared" si="16"/>
        <v>274850</v>
      </c>
      <c r="AJ10" s="78">
        <f t="shared" si="17"/>
        <v>278667</v>
      </c>
      <c r="AK10" s="124"/>
      <c r="AU10" s="69"/>
      <c r="AV10" s="69"/>
    </row>
    <row r="11" spans="1:48" ht="24.5" thickBot="1">
      <c r="A11" s="72" t="s">
        <v>260</v>
      </c>
      <c r="B11" s="63" t="s">
        <v>271</v>
      </c>
      <c r="C11" s="63"/>
      <c r="D11" s="78">
        <v>151</v>
      </c>
      <c r="E11" s="78">
        <v>469</v>
      </c>
      <c r="F11" s="78">
        <v>226</v>
      </c>
      <c r="G11" s="78">
        <v>713</v>
      </c>
      <c r="H11" s="78">
        <v>537</v>
      </c>
      <c r="I11" s="78">
        <v>322</v>
      </c>
      <c r="J11" s="78">
        <f t="shared" si="3"/>
        <v>277</v>
      </c>
      <c r="K11" s="78">
        <f t="shared" si="3"/>
        <v>644</v>
      </c>
      <c r="L11" s="78">
        <f t="shared" si="4"/>
        <v>460</v>
      </c>
      <c r="M11" s="78">
        <f t="shared" si="5"/>
        <v>1473</v>
      </c>
      <c r="N11" s="78">
        <f t="shared" si="6"/>
        <v>541</v>
      </c>
      <c r="O11" s="78">
        <f t="shared" si="6"/>
        <v>559</v>
      </c>
      <c r="P11" s="78">
        <f t="shared" si="7"/>
        <v>522</v>
      </c>
      <c r="Q11" s="78">
        <f t="shared" si="8"/>
        <v>50</v>
      </c>
      <c r="R11" s="78">
        <f t="shared" si="8"/>
        <v>210</v>
      </c>
      <c r="S11" s="78">
        <f t="shared" si="8"/>
        <v>11</v>
      </c>
      <c r="T11" s="78">
        <f t="shared" si="9"/>
        <v>15</v>
      </c>
      <c r="U11" s="78">
        <f t="shared" si="10"/>
        <v>-71</v>
      </c>
      <c r="V11" s="78">
        <f t="shared" si="10"/>
        <v>-53</v>
      </c>
      <c r="W11" s="78">
        <f t="shared" si="10"/>
        <v>396</v>
      </c>
      <c r="X11" s="78">
        <f t="shared" si="11"/>
        <v>2269</v>
      </c>
      <c r="Y11" s="78">
        <f t="shared" si="12"/>
        <v>4511</v>
      </c>
      <c r="Z11" s="78">
        <f t="shared" si="12"/>
        <v>7484</v>
      </c>
      <c r="AA11" s="78">
        <f t="shared" si="12"/>
        <v>11888</v>
      </c>
      <c r="AB11" s="78">
        <f t="shared" si="13"/>
        <v>10281</v>
      </c>
      <c r="AC11" s="78">
        <f t="shared" si="14"/>
        <v>4829</v>
      </c>
      <c r="AD11" s="78">
        <f t="shared" si="14"/>
        <v>10421</v>
      </c>
      <c r="AE11" s="78">
        <f t="shared" si="14"/>
        <v>9257</v>
      </c>
      <c r="AF11" s="78">
        <f t="shared" si="15"/>
        <v>7651</v>
      </c>
      <c r="AG11" s="78">
        <f t="shared" si="16"/>
        <v>4775</v>
      </c>
      <c r="AH11" s="78">
        <f t="shared" si="16"/>
        <v>8242</v>
      </c>
      <c r="AI11" s="78">
        <f t="shared" si="16"/>
        <v>5765</v>
      </c>
      <c r="AJ11" s="78">
        <f t="shared" si="17"/>
        <v>3744</v>
      </c>
      <c r="AK11" s="124"/>
    </row>
    <row r="12" spans="1:48" ht="15" thickBot="1">
      <c r="A12" s="72" t="s">
        <v>279</v>
      </c>
      <c r="B12" s="63" t="s">
        <v>272</v>
      </c>
      <c r="C12" s="63"/>
      <c r="D12" s="78">
        <v>1895</v>
      </c>
      <c r="E12" s="78">
        <v>2078</v>
      </c>
      <c r="F12" s="78">
        <v>1778</v>
      </c>
      <c r="G12" s="78">
        <v>1267</v>
      </c>
      <c r="H12" s="78">
        <v>939</v>
      </c>
      <c r="I12" s="78">
        <v>1357</v>
      </c>
      <c r="J12" s="78">
        <f t="shared" si="3"/>
        <v>1974</v>
      </c>
      <c r="K12" s="78">
        <f t="shared" si="3"/>
        <v>1315</v>
      </c>
      <c r="L12" s="78">
        <f t="shared" si="4"/>
        <v>1544</v>
      </c>
      <c r="M12" s="78">
        <f t="shared" si="5"/>
        <v>6203</v>
      </c>
      <c r="N12" s="78">
        <f t="shared" si="6"/>
        <v>2645</v>
      </c>
      <c r="O12" s="78">
        <f t="shared" si="6"/>
        <v>2226</v>
      </c>
      <c r="P12" s="78">
        <f t="shared" si="7"/>
        <v>5925</v>
      </c>
      <c r="Q12" s="78">
        <f t="shared" si="8"/>
        <v>514</v>
      </c>
      <c r="R12" s="78">
        <f t="shared" si="8"/>
        <v>-2</v>
      </c>
      <c r="S12" s="78">
        <f t="shared" si="8"/>
        <v>-1</v>
      </c>
      <c r="T12" s="78">
        <f t="shared" si="9"/>
        <v>0</v>
      </c>
      <c r="U12" s="78">
        <f t="shared" si="10"/>
        <v>0</v>
      </c>
      <c r="V12" s="78">
        <f t="shared" si="10"/>
        <v>0</v>
      </c>
      <c r="W12" s="78">
        <f t="shared" si="10"/>
        <v>461</v>
      </c>
      <c r="X12" s="78">
        <f t="shared" si="11"/>
        <v>3191</v>
      </c>
      <c r="Y12" s="78">
        <f t="shared" si="12"/>
        <v>5962</v>
      </c>
      <c r="Z12" s="78">
        <f t="shared" si="12"/>
        <v>12739</v>
      </c>
      <c r="AA12" s="78">
        <f t="shared" si="12"/>
        <v>4203</v>
      </c>
      <c r="AB12" s="78">
        <f t="shared" si="13"/>
        <v>7449</v>
      </c>
      <c r="AC12" s="78">
        <f t="shared" si="14"/>
        <v>11000</v>
      </c>
      <c r="AD12" s="78">
        <f t="shared" si="14"/>
        <v>17344</v>
      </c>
      <c r="AE12" s="78">
        <f t="shared" si="14"/>
        <v>32035</v>
      </c>
      <c r="AF12" s="78">
        <f t="shared" si="15"/>
        <v>13362</v>
      </c>
      <c r="AG12" s="78">
        <f t="shared" si="16"/>
        <v>11004</v>
      </c>
      <c r="AH12" s="78">
        <f t="shared" si="16"/>
        <v>10423</v>
      </c>
      <c r="AI12" s="78">
        <f t="shared" si="16"/>
        <v>9574</v>
      </c>
      <c r="AJ12" s="78">
        <f t="shared" si="17"/>
        <v>12733</v>
      </c>
      <c r="AK12" s="124"/>
    </row>
    <row r="13" spans="1:48" ht="15" thickBot="1">
      <c r="A13" s="72" t="s">
        <v>16</v>
      </c>
      <c r="B13" s="63" t="s">
        <v>230</v>
      </c>
      <c r="C13" s="63"/>
      <c r="D13" s="78">
        <v>77787</v>
      </c>
      <c r="E13" s="78">
        <v>78717</v>
      </c>
      <c r="F13" s="78">
        <v>76561</v>
      </c>
      <c r="G13" s="78">
        <v>72909</v>
      </c>
      <c r="H13" s="78">
        <v>67934</v>
      </c>
      <c r="I13" s="78">
        <v>64149</v>
      </c>
      <c r="J13" s="78">
        <f t="shared" si="3"/>
        <v>66801</v>
      </c>
      <c r="K13" s="78">
        <f t="shared" si="3"/>
        <v>67584</v>
      </c>
      <c r="L13" s="78">
        <f t="shared" si="4"/>
        <v>64865</v>
      </c>
      <c r="M13" s="78">
        <f t="shared" si="5"/>
        <v>67206</v>
      </c>
      <c r="N13" s="78">
        <f t="shared" si="6"/>
        <v>68804</v>
      </c>
      <c r="O13" s="78">
        <f t="shared" si="6"/>
        <v>69027</v>
      </c>
      <c r="P13" s="78">
        <f t="shared" si="7"/>
        <v>64413</v>
      </c>
      <c r="Q13" s="78">
        <f t="shared" si="8"/>
        <v>53587</v>
      </c>
      <c r="R13" s="78">
        <f t="shared" si="8"/>
        <v>33283</v>
      </c>
      <c r="S13" s="78">
        <f t="shared" si="8"/>
        <v>27433</v>
      </c>
      <c r="T13" s="78">
        <f t="shared" si="9"/>
        <v>28055</v>
      </c>
      <c r="U13" s="78">
        <f t="shared" si="10"/>
        <v>24990</v>
      </c>
      <c r="V13" s="78">
        <f t="shared" si="10"/>
        <v>23364</v>
      </c>
      <c r="W13" s="78">
        <f t="shared" si="10"/>
        <v>27255</v>
      </c>
      <c r="X13" s="78">
        <f t="shared" si="11"/>
        <v>26449</v>
      </c>
      <c r="Y13" s="78">
        <f t="shared" si="12"/>
        <v>35725</v>
      </c>
      <c r="Z13" s="78">
        <f t="shared" si="12"/>
        <v>21229</v>
      </c>
      <c r="AA13" s="78">
        <f t="shared" si="12"/>
        <v>6727</v>
      </c>
      <c r="AB13" s="78">
        <f t="shared" si="13"/>
        <v>8689</v>
      </c>
      <c r="AC13" s="78">
        <f t="shared" si="14"/>
        <v>4363</v>
      </c>
      <c r="AD13" s="78">
        <f t="shared" si="14"/>
        <v>-3782</v>
      </c>
      <c r="AE13" s="78">
        <f t="shared" si="14"/>
        <v>-9270</v>
      </c>
      <c r="AF13" s="78">
        <f t="shared" si="15"/>
        <v>0</v>
      </c>
      <c r="AG13" s="78">
        <f t="shared" si="16"/>
        <v>0</v>
      </c>
      <c r="AH13" s="78">
        <f t="shared" si="16"/>
        <v>0</v>
      </c>
      <c r="AI13" s="78">
        <f t="shared" si="16"/>
        <v>0</v>
      </c>
      <c r="AJ13" s="78">
        <f t="shared" si="17"/>
        <v>0</v>
      </c>
      <c r="AK13" s="124"/>
    </row>
    <row r="14" spans="1:48" ht="15" thickBot="1">
      <c r="A14" s="77" t="s">
        <v>280</v>
      </c>
      <c r="B14" s="60" t="s">
        <v>273</v>
      </c>
      <c r="C14" s="60"/>
      <c r="D14" s="76">
        <f t="shared" ref="D14:G14" si="18">+D15+D17</f>
        <v>2077</v>
      </c>
      <c r="E14" s="76">
        <f t="shared" si="18"/>
        <v>2420</v>
      </c>
      <c r="F14" s="76">
        <f t="shared" si="18"/>
        <v>1987</v>
      </c>
      <c r="G14" s="76">
        <f t="shared" si="18"/>
        <v>3105</v>
      </c>
      <c r="H14" s="76">
        <f>+H15+H17+H16</f>
        <v>35788</v>
      </c>
      <c r="I14" s="76">
        <f t="shared" ref="I14:AH14" si="19">+I15+I17+I16</f>
        <v>44205</v>
      </c>
      <c r="J14" s="76">
        <f t="shared" si="19"/>
        <v>48521</v>
      </c>
      <c r="K14" s="76">
        <f t="shared" si="19"/>
        <v>48569</v>
      </c>
      <c r="L14" s="76">
        <f t="shared" si="19"/>
        <v>47108</v>
      </c>
      <c r="M14" s="76">
        <f t="shared" si="19"/>
        <v>41626.374613580061</v>
      </c>
      <c r="N14" s="76">
        <f t="shared" si="19"/>
        <v>50125.625386419939</v>
      </c>
      <c r="O14" s="76">
        <f t="shared" si="19"/>
        <v>50804</v>
      </c>
      <c r="P14" s="76">
        <f t="shared" si="19"/>
        <v>46413</v>
      </c>
      <c r="Q14" s="76">
        <f t="shared" si="19"/>
        <v>26892</v>
      </c>
      <c r="R14" s="76">
        <f t="shared" si="19"/>
        <v>16893.305000000168</v>
      </c>
      <c r="S14" s="76">
        <f t="shared" si="19"/>
        <v>18256.694999999832</v>
      </c>
      <c r="T14" s="76">
        <f t="shared" si="19"/>
        <v>19629</v>
      </c>
      <c r="U14" s="76">
        <f t="shared" si="19"/>
        <v>21427</v>
      </c>
      <c r="V14" s="76">
        <f t="shared" si="19"/>
        <v>17511</v>
      </c>
      <c r="W14" s="76">
        <f t="shared" si="19"/>
        <v>5321</v>
      </c>
      <c r="X14" s="76">
        <f t="shared" si="19"/>
        <v>-6339</v>
      </c>
      <c r="Y14" s="76">
        <f t="shared" si="19"/>
        <v>-25060</v>
      </c>
      <c r="Z14" s="76">
        <f t="shared" si="19"/>
        <v>-15178</v>
      </c>
      <c r="AA14" s="76">
        <f t="shared" si="19"/>
        <v>17780</v>
      </c>
      <c r="AB14" s="76">
        <f t="shared" si="19"/>
        <v>24329</v>
      </c>
      <c r="AC14" s="76">
        <f t="shared" si="19"/>
        <v>25813</v>
      </c>
      <c r="AD14" s="76">
        <f t="shared" si="19"/>
        <v>24957</v>
      </c>
      <c r="AE14" s="76">
        <f t="shared" si="19"/>
        <v>33831</v>
      </c>
      <c r="AF14" s="76">
        <f t="shared" si="19"/>
        <v>29333</v>
      </c>
      <c r="AG14" s="76">
        <f t="shared" si="19"/>
        <v>28460</v>
      </c>
      <c r="AH14" s="76">
        <f t="shared" si="19"/>
        <v>22617</v>
      </c>
      <c r="AI14" s="76">
        <f t="shared" ref="AI14:AJ14" si="20">+AI15+AI17+AI16</f>
        <v>20977</v>
      </c>
      <c r="AJ14" s="76">
        <f t="shared" si="20"/>
        <v>11418</v>
      </c>
      <c r="AK14" s="124"/>
    </row>
    <row r="15" spans="1:48" ht="24.5" thickBot="1">
      <c r="A15" s="72" t="s">
        <v>281</v>
      </c>
      <c r="B15" s="63" t="s">
        <v>274</v>
      </c>
      <c r="C15" s="63"/>
      <c r="D15" s="78">
        <v>0</v>
      </c>
      <c r="E15" s="78">
        <v>0</v>
      </c>
      <c r="F15" s="78">
        <v>0</v>
      </c>
      <c r="G15" s="78">
        <v>0</v>
      </c>
      <c r="H15" s="78">
        <v>23170</v>
      </c>
      <c r="I15" s="78">
        <v>23648</v>
      </c>
      <c r="J15" s="78">
        <f>+J47-I47</f>
        <v>25234</v>
      </c>
      <c r="K15" s="78">
        <f>+K47-J47</f>
        <v>26553</v>
      </c>
      <c r="L15" s="78">
        <f>+L47</f>
        <v>26000</v>
      </c>
      <c r="M15" s="78">
        <f>+M47-L15</f>
        <v>27284</v>
      </c>
      <c r="N15" s="78">
        <f>+N47-M47</f>
        <v>29949</v>
      </c>
      <c r="O15" s="78">
        <f>+O47-N47</f>
        <v>31432</v>
      </c>
      <c r="P15" s="78">
        <f>+P47</f>
        <v>30128</v>
      </c>
      <c r="Q15" s="78">
        <f t="shared" ref="Q15:S15" si="21">+Q47-P47</f>
        <v>13082</v>
      </c>
      <c r="R15" s="78">
        <f t="shared" si="21"/>
        <v>11863</v>
      </c>
      <c r="S15" s="78">
        <f t="shared" si="21"/>
        <v>14861</v>
      </c>
      <c r="T15" s="78">
        <f>+T47</f>
        <v>16670</v>
      </c>
      <c r="U15" s="78">
        <f t="shared" ref="U15:W16" si="22">+U47-T47</f>
        <v>18548</v>
      </c>
      <c r="V15" s="78">
        <f t="shared" si="22"/>
        <v>13751</v>
      </c>
      <c r="W15" s="78">
        <f t="shared" si="22"/>
        <v>6403</v>
      </c>
      <c r="X15" s="78">
        <f>+X47</f>
        <v>7674</v>
      </c>
      <c r="Y15" s="78">
        <f t="shared" ref="Y15:AA17" si="23">+Y47-X47</f>
        <v>8947</v>
      </c>
      <c r="Z15" s="78">
        <f t="shared" si="23"/>
        <v>6405</v>
      </c>
      <c r="AA15" s="78">
        <f t="shared" si="23"/>
        <v>5578</v>
      </c>
      <c r="AB15" s="78">
        <f t="shared" ref="AB15:AB17" si="24">+AB47</f>
        <v>3720</v>
      </c>
      <c r="AC15" s="78">
        <f t="shared" ref="AC15:AE17" si="25">+AC47-AB47</f>
        <v>3245</v>
      </c>
      <c r="AD15" s="78">
        <f t="shared" si="25"/>
        <v>1670</v>
      </c>
      <c r="AE15" s="78">
        <f t="shared" si="25"/>
        <v>1360</v>
      </c>
      <c r="AF15" s="78">
        <f t="shared" ref="AF15:AF17" si="26">+AF47</f>
        <v>258</v>
      </c>
      <c r="AG15" s="78">
        <f t="shared" ref="AG15:AI17" si="27">+AG47-AF47</f>
        <v>1430</v>
      </c>
      <c r="AH15" s="78">
        <f t="shared" si="27"/>
        <v>1049</v>
      </c>
      <c r="AI15" s="78">
        <f t="shared" si="27"/>
        <v>548</v>
      </c>
      <c r="AJ15" s="78">
        <f t="shared" ref="AJ15:AJ17" si="28">+AJ47</f>
        <v>310</v>
      </c>
      <c r="AK15" s="124"/>
    </row>
    <row r="16" spans="1:48" ht="24.5" thickBot="1">
      <c r="A16" s="72" t="s">
        <v>501</v>
      </c>
      <c r="B16" s="63" t="s">
        <v>502</v>
      </c>
      <c r="C16" s="63"/>
      <c r="D16" s="78"/>
      <c r="E16" s="78"/>
      <c r="F16" s="78"/>
      <c r="G16" s="78"/>
      <c r="H16" s="78">
        <v>8402</v>
      </c>
      <c r="I16" s="78">
        <v>15713</v>
      </c>
      <c r="J16" s="78">
        <v>18141</v>
      </c>
      <c r="K16" s="78">
        <v>18163</v>
      </c>
      <c r="L16" s="78">
        <v>16339</v>
      </c>
      <c r="M16" s="78">
        <v>11796.374613580061</v>
      </c>
      <c r="N16" s="78">
        <v>17611.625386419939</v>
      </c>
      <c r="O16" s="78">
        <v>16721</v>
      </c>
      <c r="P16" s="78">
        <v>13869</v>
      </c>
      <c r="Q16" s="78">
        <v>12761</v>
      </c>
      <c r="R16" s="78">
        <v>4626.3050000001676</v>
      </c>
      <c r="S16" s="78">
        <v>3203.6949999998324</v>
      </c>
      <c r="T16" s="78">
        <v>2794</v>
      </c>
      <c r="U16" s="78">
        <f t="shared" si="22"/>
        <v>2758</v>
      </c>
      <c r="V16" s="78">
        <f t="shared" si="22"/>
        <v>3612</v>
      </c>
      <c r="W16" s="78">
        <f t="shared" si="22"/>
        <v>-1262</v>
      </c>
      <c r="X16" s="78">
        <f>+X48</f>
        <v>-14548</v>
      </c>
      <c r="Y16" s="78">
        <f t="shared" si="23"/>
        <v>-34993</v>
      </c>
      <c r="Z16" s="78">
        <f t="shared" si="23"/>
        <v>-23367</v>
      </c>
      <c r="AA16" s="78">
        <f t="shared" si="23"/>
        <v>11416</v>
      </c>
      <c r="AB16" s="78">
        <f t="shared" si="24"/>
        <v>19513</v>
      </c>
      <c r="AC16" s="78">
        <f t="shared" si="25"/>
        <v>21326</v>
      </c>
      <c r="AD16" s="78">
        <f t="shared" si="25"/>
        <v>22468</v>
      </c>
      <c r="AE16" s="78">
        <f t="shared" si="25"/>
        <v>30762</v>
      </c>
      <c r="AF16" s="78">
        <f t="shared" si="26"/>
        <v>26639</v>
      </c>
      <c r="AG16" s="78">
        <f t="shared" si="27"/>
        <v>23123</v>
      </c>
      <c r="AH16" s="78">
        <f t="shared" si="27"/>
        <v>18967</v>
      </c>
      <c r="AI16" s="78">
        <f t="shared" si="27"/>
        <v>13410</v>
      </c>
      <c r="AJ16" s="78">
        <f t="shared" si="28"/>
        <v>5351</v>
      </c>
      <c r="AK16" s="124"/>
    </row>
    <row r="17" spans="1:37" ht="15" thickBot="1">
      <c r="A17" s="72" t="s">
        <v>282</v>
      </c>
      <c r="B17" s="63" t="s">
        <v>275</v>
      </c>
      <c r="C17" s="63"/>
      <c r="D17" s="78">
        <v>2077</v>
      </c>
      <c r="E17" s="78">
        <v>2420</v>
      </c>
      <c r="F17" s="78">
        <v>1987</v>
      </c>
      <c r="G17" s="78">
        <v>3105</v>
      </c>
      <c r="H17" s="78">
        <v>4216</v>
      </c>
      <c r="I17" s="78">
        <v>4844</v>
      </c>
      <c r="J17" s="78">
        <f>+J49-I49</f>
        <v>5146</v>
      </c>
      <c r="K17" s="78">
        <f>+K49-J49</f>
        <v>3853</v>
      </c>
      <c r="L17" s="78">
        <f>+L49</f>
        <v>4769</v>
      </c>
      <c r="M17" s="78">
        <f>+M49-L17</f>
        <v>2546</v>
      </c>
      <c r="N17" s="78">
        <f>+N49-M49</f>
        <v>2565</v>
      </c>
      <c r="O17" s="78">
        <f>+O49-N49</f>
        <v>2651</v>
      </c>
      <c r="P17" s="78">
        <f>+P49</f>
        <v>2416</v>
      </c>
      <c r="Q17" s="78">
        <f>+Q49-P49</f>
        <v>1049</v>
      </c>
      <c r="R17" s="78">
        <f>+R49-Q49</f>
        <v>404</v>
      </c>
      <c r="S17" s="78">
        <f>+S49-R49</f>
        <v>192</v>
      </c>
      <c r="T17" s="78">
        <f>+T49</f>
        <v>165</v>
      </c>
      <c r="U17" s="78">
        <f>+U49-T49</f>
        <v>121</v>
      </c>
      <c r="V17" s="78">
        <f>+V49-U49</f>
        <v>148</v>
      </c>
      <c r="W17" s="78">
        <f>+W49-V49</f>
        <v>180</v>
      </c>
      <c r="X17" s="78">
        <f>+X49</f>
        <v>535</v>
      </c>
      <c r="Y17" s="78">
        <f t="shared" si="23"/>
        <v>986</v>
      </c>
      <c r="Z17" s="78">
        <f t="shared" si="23"/>
        <v>1784</v>
      </c>
      <c r="AA17" s="78">
        <f t="shared" si="23"/>
        <v>786</v>
      </c>
      <c r="AB17" s="78">
        <f t="shared" si="24"/>
        <v>1096</v>
      </c>
      <c r="AC17" s="78">
        <f t="shared" si="25"/>
        <v>1242</v>
      </c>
      <c r="AD17" s="78">
        <f t="shared" si="25"/>
        <v>819</v>
      </c>
      <c r="AE17" s="78">
        <f t="shared" si="25"/>
        <v>1709</v>
      </c>
      <c r="AF17" s="78">
        <f t="shared" si="26"/>
        <v>2436</v>
      </c>
      <c r="AG17" s="78">
        <f t="shared" si="27"/>
        <v>3907</v>
      </c>
      <c r="AH17" s="78">
        <f t="shared" si="27"/>
        <v>2601</v>
      </c>
      <c r="AI17" s="78">
        <f t="shared" si="27"/>
        <v>7019</v>
      </c>
      <c r="AJ17" s="78">
        <f t="shared" si="28"/>
        <v>5757</v>
      </c>
      <c r="AK17" s="124"/>
    </row>
    <row r="18" spans="1:37" ht="15" thickBot="1">
      <c r="A18" s="80" t="s">
        <v>283</v>
      </c>
      <c r="B18" s="62" t="s">
        <v>83</v>
      </c>
      <c r="C18" s="62"/>
      <c r="D18" s="79">
        <f t="shared" ref="D18:AH18" si="29">+D14+D7+D5</f>
        <v>576350</v>
      </c>
      <c r="E18" s="79">
        <f t="shared" si="29"/>
        <v>593422</v>
      </c>
      <c r="F18" s="79">
        <f t="shared" si="29"/>
        <v>613252</v>
      </c>
      <c r="G18" s="79">
        <f t="shared" si="29"/>
        <v>615914</v>
      </c>
      <c r="H18" s="79">
        <f t="shared" si="29"/>
        <v>617997</v>
      </c>
      <c r="I18" s="79">
        <f t="shared" si="29"/>
        <v>640161</v>
      </c>
      <c r="J18" s="79">
        <f t="shared" si="29"/>
        <v>665522</v>
      </c>
      <c r="K18" s="79">
        <f t="shared" si="29"/>
        <v>698658</v>
      </c>
      <c r="L18" s="79">
        <f t="shared" si="29"/>
        <v>710898</v>
      </c>
      <c r="M18" s="79">
        <f t="shared" si="29"/>
        <v>804734.37461358006</v>
      </c>
      <c r="N18" s="79">
        <f t="shared" si="29"/>
        <v>957779.62538641994</v>
      </c>
      <c r="O18" s="79">
        <f t="shared" si="29"/>
        <v>963892</v>
      </c>
      <c r="P18" s="79">
        <f t="shared" si="29"/>
        <v>941600</v>
      </c>
      <c r="Q18" s="79">
        <f t="shared" si="29"/>
        <v>822114</v>
      </c>
      <c r="R18" s="79">
        <f t="shared" si="29"/>
        <v>697622.30500000017</v>
      </c>
      <c r="S18" s="79">
        <f t="shared" si="29"/>
        <v>665242.69499999983</v>
      </c>
      <c r="T18" s="79">
        <f t="shared" si="29"/>
        <v>654932</v>
      </c>
      <c r="U18" s="79">
        <f t="shared" si="29"/>
        <v>684964</v>
      </c>
      <c r="V18" s="79">
        <f t="shared" si="29"/>
        <v>696410</v>
      </c>
      <c r="W18" s="79">
        <f t="shared" si="29"/>
        <v>805787</v>
      </c>
      <c r="X18" s="79">
        <f t="shared" si="29"/>
        <v>1059315</v>
      </c>
      <c r="Y18" s="79">
        <f t="shared" si="29"/>
        <v>1491924</v>
      </c>
      <c r="Z18" s="79">
        <f t="shared" si="29"/>
        <v>407424</v>
      </c>
      <c r="AA18" s="79">
        <f t="shared" si="29"/>
        <v>2041234</v>
      </c>
      <c r="AB18" s="79">
        <f t="shared" si="29"/>
        <v>2071433</v>
      </c>
      <c r="AC18" s="79">
        <f t="shared" si="29"/>
        <v>2087525</v>
      </c>
      <c r="AD18" s="79">
        <f t="shared" si="29"/>
        <v>2157147</v>
      </c>
      <c r="AE18" s="79">
        <f t="shared" si="29"/>
        <v>2119668</v>
      </c>
      <c r="AF18" s="79">
        <f t="shared" si="29"/>
        <v>2169427</v>
      </c>
      <c r="AG18" s="79">
        <f t="shared" si="29"/>
        <v>2005199</v>
      </c>
      <c r="AH18" s="79">
        <f t="shared" si="29"/>
        <v>2313169</v>
      </c>
      <c r="AI18" s="79">
        <f t="shared" ref="AI18:AJ18" si="30">+AI14+AI7+AI5</f>
        <v>2335332</v>
      </c>
      <c r="AJ18" s="79">
        <f t="shared" si="30"/>
        <v>2268053</v>
      </c>
      <c r="AK18" s="124"/>
    </row>
    <row r="19" spans="1:37" ht="15" thickBot="1"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AK19" s="251"/>
    </row>
    <row r="20" spans="1:37" s="119" customFormat="1" ht="24.5" thickBot="1">
      <c r="A20" s="121" t="s">
        <v>286</v>
      </c>
      <c r="B20" s="98" t="s">
        <v>370</v>
      </c>
      <c r="C20" s="98"/>
      <c r="D20" s="115" t="s">
        <v>179</v>
      </c>
      <c r="E20" s="115" t="s">
        <v>182</v>
      </c>
      <c r="F20" s="115" t="s">
        <v>185</v>
      </c>
      <c r="G20" s="115" t="s">
        <v>257</v>
      </c>
      <c r="H20" s="115" t="s">
        <v>192</v>
      </c>
      <c r="I20" s="115" t="s">
        <v>263</v>
      </c>
      <c r="J20" s="115" t="s">
        <v>298</v>
      </c>
      <c r="K20" s="115" t="s">
        <v>303</v>
      </c>
      <c r="L20" s="115" t="s">
        <v>307</v>
      </c>
      <c r="M20" s="115" t="s">
        <v>318</v>
      </c>
      <c r="N20" s="115" t="s">
        <v>323</v>
      </c>
      <c r="O20" s="115" t="s">
        <v>329</v>
      </c>
      <c r="P20" s="115" t="s">
        <v>400</v>
      </c>
      <c r="Q20" s="115" t="s">
        <v>470</v>
      </c>
      <c r="R20" s="115" t="s">
        <v>475</v>
      </c>
      <c r="S20" s="115" t="s">
        <v>484</v>
      </c>
      <c r="T20" s="115" t="s">
        <v>489</v>
      </c>
      <c r="U20" s="115" t="s">
        <v>493</v>
      </c>
      <c r="V20" s="115" t="s">
        <v>505</v>
      </c>
      <c r="W20" s="115" t="s">
        <v>510</v>
      </c>
      <c r="X20" s="115" t="s">
        <v>515</v>
      </c>
      <c r="Y20" s="115" t="s">
        <v>523</v>
      </c>
      <c r="Z20" s="115" t="s">
        <v>527</v>
      </c>
      <c r="AA20" s="115" t="s">
        <v>533</v>
      </c>
      <c r="AB20" s="115" t="s">
        <v>547</v>
      </c>
      <c r="AC20" s="115" t="s">
        <v>648</v>
      </c>
      <c r="AD20" s="115" t="s">
        <v>652</v>
      </c>
      <c r="AE20" s="115" t="s">
        <v>661</v>
      </c>
      <c r="AF20" s="115" t="s">
        <v>666</v>
      </c>
      <c r="AG20" s="115" t="s">
        <v>672</v>
      </c>
      <c r="AH20" s="115" t="s">
        <v>680</v>
      </c>
      <c r="AI20" s="115" t="s">
        <v>685</v>
      </c>
      <c r="AJ20" s="115" t="s">
        <v>690</v>
      </c>
      <c r="AK20"/>
    </row>
    <row r="21" spans="1:37" ht="15" thickBot="1">
      <c r="A21" s="70" t="s">
        <v>236</v>
      </c>
      <c r="B21" s="57" t="s">
        <v>276</v>
      </c>
      <c r="C21" s="57"/>
      <c r="D21" s="68">
        <f>+D22+D23+D24+D25+D26+D28</f>
        <v>-182763</v>
      </c>
      <c r="E21" s="68">
        <f t="shared" ref="E21:K21" si="31">+E22+E23+E24+E25+E26+E28</f>
        <v>-172568</v>
      </c>
      <c r="F21" s="68">
        <f t="shared" si="31"/>
        <v>-174878</v>
      </c>
      <c r="G21" s="68">
        <f t="shared" si="31"/>
        <v>-171866</v>
      </c>
      <c r="H21" s="68">
        <f t="shared" si="31"/>
        <v>-181234</v>
      </c>
      <c r="I21" s="68">
        <f t="shared" si="31"/>
        <v>-183838</v>
      </c>
      <c r="J21" s="68">
        <f t="shared" si="31"/>
        <v>-184334</v>
      </c>
      <c r="K21" s="68">
        <f t="shared" si="31"/>
        <v>-194757</v>
      </c>
      <c r="L21" s="68">
        <f t="shared" ref="L21:AH21" si="32">+L22+L23+L24+L25+L26+L28+L27</f>
        <v>-210527</v>
      </c>
      <c r="M21" s="68">
        <f t="shared" si="32"/>
        <v>-220362</v>
      </c>
      <c r="N21" s="68">
        <f t="shared" si="32"/>
        <v>-252550</v>
      </c>
      <c r="O21" s="68">
        <f t="shared" si="32"/>
        <v>-254317</v>
      </c>
      <c r="P21" s="68">
        <f t="shared" si="32"/>
        <v>-251958</v>
      </c>
      <c r="Q21" s="68">
        <f t="shared" si="32"/>
        <v>-181878</v>
      </c>
      <c r="R21" s="68">
        <f t="shared" si="32"/>
        <v>-69040</v>
      </c>
      <c r="S21" s="68">
        <f t="shared" si="32"/>
        <v>-40588</v>
      </c>
      <c r="T21" s="68">
        <f t="shared" si="32"/>
        <v>-32637</v>
      </c>
      <c r="U21" s="68">
        <f t="shared" si="32"/>
        <v>-30091</v>
      </c>
      <c r="V21" s="68">
        <f t="shared" si="32"/>
        <v>-27532</v>
      </c>
      <c r="W21" s="68">
        <f t="shared" si="32"/>
        <v>-38687</v>
      </c>
      <c r="X21" s="68">
        <f t="shared" si="32"/>
        <v>-98276</v>
      </c>
      <c r="Y21" s="68">
        <f t="shared" si="32"/>
        <v>-313042</v>
      </c>
      <c r="Z21" s="68">
        <f t="shared" si="32"/>
        <v>-558933</v>
      </c>
      <c r="AA21" s="68">
        <f t="shared" si="32"/>
        <v>-692354</v>
      </c>
      <c r="AB21" s="68">
        <f t="shared" si="32"/>
        <v>-809309</v>
      </c>
      <c r="AC21" s="68">
        <f t="shared" si="32"/>
        <v>-751699</v>
      </c>
      <c r="AD21" s="68">
        <f t="shared" si="32"/>
        <v>-785386</v>
      </c>
      <c r="AE21" s="68">
        <f t="shared" si="32"/>
        <v>-835890</v>
      </c>
      <c r="AF21" s="68">
        <f t="shared" si="32"/>
        <v>-815182</v>
      </c>
      <c r="AG21" s="68">
        <f t="shared" si="32"/>
        <v>-823627</v>
      </c>
      <c r="AH21" s="68">
        <f t="shared" si="32"/>
        <v>-824087</v>
      </c>
      <c r="AI21" s="68">
        <f t="shared" ref="AI21:AJ21" si="33">+AI22+AI23+AI24+AI25+AI26+AI28+AI27</f>
        <v>-830287</v>
      </c>
      <c r="AJ21" s="68">
        <f t="shared" si="33"/>
        <v>-844598</v>
      </c>
      <c r="AK21" s="124"/>
    </row>
    <row r="22" spans="1:37" ht="24.5" thickBot="1">
      <c r="A22" s="72" t="s">
        <v>287</v>
      </c>
      <c r="B22" s="66" t="s">
        <v>238</v>
      </c>
      <c r="C22" s="66"/>
      <c r="D22" s="71">
        <v>-6393</v>
      </c>
      <c r="E22" s="71">
        <v>-7078</v>
      </c>
      <c r="F22" s="71">
        <v>-9007</v>
      </c>
      <c r="G22" s="71">
        <v>-6655</v>
      </c>
      <c r="H22" s="71">
        <v>-6313</v>
      </c>
      <c r="I22" s="71">
        <v>-3671</v>
      </c>
      <c r="J22" s="71">
        <f t="shared" ref="J22:K26" si="34">+J54-I54</f>
        <v>-5492</v>
      </c>
      <c r="K22" s="78">
        <f t="shared" si="34"/>
        <v>-6340</v>
      </c>
      <c r="L22" s="78">
        <f t="shared" ref="L22:L29" si="35">+L54</f>
        <v>-6709</v>
      </c>
      <c r="M22" s="78">
        <f t="shared" ref="M22:M29" si="36">+M54-L22</f>
        <v>-7769</v>
      </c>
      <c r="N22" s="78">
        <f t="shared" ref="N22:O29" si="37">+N54-M54</f>
        <v>-7659</v>
      </c>
      <c r="O22" s="78">
        <f t="shared" si="37"/>
        <v>-7287</v>
      </c>
      <c r="P22" s="78">
        <f t="shared" ref="P22:P29" si="38">+P54</f>
        <v>-6333</v>
      </c>
      <c r="Q22" s="78">
        <f t="shared" ref="Q22:S29" si="39">+Q54-P54</f>
        <v>-5876</v>
      </c>
      <c r="R22" s="78">
        <f t="shared" si="39"/>
        <v>-3656</v>
      </c>
      <c r="S22" s="78">
        <f t="shared" si="39"/>
        <v>-2178</v>
      </c>
      <c r="T22" s="78">
        <f t="shared" ref="T22:T29" si="40">+T54</f>
        <v>-1916</v>
      </c>
      <c r="U22" s="78">
        <f t="shared" ref="U22:W29" si="41">+U54-T54</f>
        <v>-1601</v>
      </c>
      <c r="V22" s="78">
        <f t="shared" si="41"/>
        <v>-1273</v>
      </c>
      <c r="W22" s="78">
        <f t="shared" si="41"/>
        <v>-1829</v>
      </c>
      <c r="X22" s="78">
        <f t="shared" ref="X22:X29" si="42">+X54</f>
        <v>-6362</v>
      </c>
      <c r="Y22" s="78">
        <f t="shared" ref="Y22:AA29" si="43">+Y54-X54</f>
        <v>-8225</v>
      </c>
      <c r="Z22" s="78">
        <f t="shared" si="43"/>
        <v>-10015</v>
      </c>
      <c r="AA22" s="78">
        <f t="shared" si="43"/>
        <v>-9988</v>
      </c>
      <c r="AB22" s="78">
        <f t="shared" ref="AB22:AB28" si="44">+AB54</f>
        <v>-6386</v>
      </c>
      <c r="AC22" s="78">
        <f t="shared" ref="AC22:AE29" si="45">+AC54-AB54</f>
        <v>-5620</v>
      </c>
      <c r="AD22" s="78">
        <f>+AD54-AC54</f>
        <v>-2098</v>
      </c>
      <c r="AE22" s="78">
        <f>+AE54-AD54</f>
        <v>-899</v>
      </c>
      <c r="AF22" s="78">
        <f t="shared" ref="AF22:AF28" si="46">+AF54</f>
        <v>-4968</v>
      </c>
      <c r="AG22" s="78">
        <f t="shared" ref="AG22:AI29" si="47">+AG54-AF54</f>
        <v>-1286</v>
      </c>
      <c r="AH22" s="78">
        <f t="shared" si="47"/>
        <v>-4812</v>
      </c>
      <c r="AI22" s="78">
        <f t="shared" si="47"/>
        <v>-3054</v>
      </c>
      <c r="AJ22" s="78">
        <f t="shared" ref="AJ22:AJ28" si="48">+AJ54</f>
        <v>-3643</v>
      </c>
      <c r="AK22" s="124"/>
    </row>
    <row r="23" spans="1:37" ht="15" thickBot="1">
      <c r="A23" s="72" t="s">
        <v>239</v>
      </c>
      <c r="B23" s="66" t="s">
        <v>69</v>
      </c>
      <c r="C23" s="66"/>
      <c r="D23" s="71">
        <v>-160720</v>
      </c>
      <c r="E23" s="71">
        <v>-153058</v>
      </c>
      <c r="F23" s="71">
        <v>-151913</v>
      </c>
      <c r="G23" s="71">
        <v>-150301</v>
      </c>
      <c r="H23" s="71">
        <v>-158741</v>
      </c>
      <c r="I23" s="71">
        <v>-164199</v>
      </c>
      <c r="J23" s="71">
        <f t="shared" si="34"/>
        <v>-162554</v>
      </c>
      <c r="K23" s="78">
        <f t="shared" si="34"/>
        <v>-174928</v>
      </c>
      <c r="L23" s="78">
        <f t="shared" si="35"/>
        <v>-182830</v>
      </c>
      <c r="M23" s="78">
        <f t="shared" si="36"/>
        <v>-188117</v>
      </c>
      <c r="N23" s="78">
        <f t="shared" si="37"/>
        <v>-216597</v>
      </c>
      <c r="O23" s="78">
        <f t="shared" si="37"/>
        <v>-219429</v>
      </c>
      <c r="P23" s="78">
        <f t="shared" si="38"/>
        <v>-215765</v>
      </c>
      <c r="Q23" s="78">
        <f t="shared" si="39"/>
        <v>-153804</v>
      </c>
      <c r="R23" s="78">
        <f t="shared" si="39"/>
        <v>-50001</v>
      </c>
      <c r="S23" s="78">
        <f t="shared" si="39"/>
        <v>-24518</v>
      </c>
      <c r="T23" s="78">
        <f t="shared" si="40"/>
        <v>-17700</v>
      </c>
      <c r="U23" s="78">
        <f t="shared" si="41"/>
        <v>-15588</v>
      </c>
      <c r="V23" s="78">
        <f t="shared" si="41"/>
        <v>-13717</v>
      </c>
      <c r="W23" s="78">
        <f t="shared" si="41"/>
        <v>-21739</v>
      </c>
      <c r="X23" s="78">
        <f t="shared" si="42"/>
        <v>-64577</v>
      </c>
      <c r="Y23" s="78">
        <f t="shared" si="43"/>
        <v>-264050</v>
      </c>
      <c r="Z23" s="78">
        <f t="shared" si="43"/>
        <v>-492387</v>
      </c>
      <c r="AA23" s="78">
        <f t="shared" si="43"/>
        <v>-634088</v>
      </c>
      <c r="AB23" s="78">
        <f t="shared" si="44"/>
        <v>-732390</v>
      </c>
      <c r="AC23" s="78">
        <f t="shared" si="45"/>
        <v>-689681</v>
      </c>
      <c r="AD23" s="78">
        <f t="shared" si="45"/>
        <v>-707751</v>
      </c>
      <c r="AE23" s="78">
        <f t="shared" si="45"/>
        <v>-693437</v>
      </c>
      <c r="AF23" s="78">
        <f t="shared" si="46"/>
        <v>-663773</v>
      </c>
      <c r="AG23" s="78">
        <f t="shared" si="47"/>
        <v>-680979</v>
      </c>
      <c r="AH23" s="78">
        <f t="shared" si="47"/>
        <v>-665037</v>
      </c>
      <c r="AI23" s="78">
        <f t="shared" si="47"/>
        <v>-647287</v>
      </c>
      <c r="AJ23" s="78">
        <f t="shared" si="48"/>
        <v>-660286</v>
      </c>
      <c r="AK23" s="124"/>
    </row>
    <row r="24" spans="1:37" ht="15" thickBot="1">
      <c r="A24" s="72" t="s">
        <v>261</v>
      </c>
      <c r="B24" s="66" t="s">
        <v>272</v>
      </c>
      <c r="C24" s="66"/>
      <c r="D24" s="71">
        <v>-4225</v>
      </c>
      <c r="E24" s="71">
        <v>-2960</v>
      </c>
      <c r="F24" s="71">
        <v>-3740</v>
      </c>
      <c r="G24" s="71">
        <v>-3127</v>
      </c>
      <c r="H24" s="71">
        <v>-2117</v>
      </c>
      <c r="I24" s="71">
        <v>-2355</v>
      </c>
      <c r="J24" s="71">
        <f t="shared" si="34"/>
        <v>-4968</v>
      </c>
      <c r="K24" s="78">
        <f t="shared" si="34"/>
        <v>-2144</v>
      </c>
      <c r="L24" s="78">
        <f t="shared" si="35"/>
        <v>-2479</v>
      </c>
      <c r="M24" s="78">
        <f t="shared" si="36"/>
        <v>-794</v>
      </c>
      <c r="N24" s="78">
        <f t="shared" si="37"/>
        <v>-1141</v>
      </c>
      <c r="O24" s="78">
        <f t="shared" si="37"/>
        <v>-1583</v>
      </c>
      <c r="P24" s="78">
        <f t="shared" si="38"/>
        <v>-6302</v>
      </c>
      <c r="Q24" s="78">
        <f t="shared" si="39"/>
        <v>-1372</v>
      </c>
      <c r="R24" s="78">
        <f t="shared" si="39"/>
        <v>-110</v>
      </c>
      <c r="S24" s="78">
        <f t="shared" si="39"/>
        <v>-11</v>
      </c>
      <c r="T24" s="78">
        <f t="shared" si="40"/>
        <v>-5</v>
      </c>
      <c r="U24" s="78">
        <f t="shared" si="41"/>
        <v>-4</v>
      </c>
      <c r="V24" s="78">
        <f t="shared" si="41"/>
        <v>-39</v>
      </c>
      <c r="W24" s="78">
        <f t="shared" si="41"/>
        <v>-1743</v>
      </c>
      <c r="X24" s="78">
        <f t="shared" si="42"/>
        <v>-7197</v>
      </c>
      <c r="Y24" s="78">
        <f t="shared" si="43"/>
        <v>-16434</v>
      </c>
      <c r="Z24" s="78">
        <f t="shared" si="43"/>
        <v>-20970</v>
      </c>
      <c r="AA24" s="78">
        <f t="shared" si="43"/>
        <v>-8270</v>
      </c>
      <c r="AB24" s="78">
        <f t="shared" si="44"/>
        <v>-19936</v>
      </c>
      <c r="AC24" s="78">
        <f t="shared" si="45"/>
        <v>-4968</v>
      </c>
      <c r="AD24" s="78">
        <f t="shared" si="45"/>
        <v>-6793</v>
      </c>
      <c r="AE24" s="78">
        <f t="shared" si="45"/>
        <v>-3481</v>
      </c>
      <c r="AF24" s="78">
        <f t="shared" si="46"/>
        <v>-8856</v>
      </c>
      <c r="AG24" s="78">
        <f t="shared" si="47"/>
        <v>-5806</v>
      </c>
      <c r="AH24" s="78">
        <f t="shared" si="47"/>
        <v>-12528</v>
      </c>
      <c r="AI24" s="78">
        <f>+AI56-AH56</f>
        <v>-10323</v>
      </c>
      <c r="AJ24" s="78">
        <f t="shared" si="48"/>
        <v>-12115</v>
      </c>
      <c r="AK24" s="124"/>
    </row>
    <row r="25" spans="1:37" ht="15" thickBot="1">
      <c r="A25" s="72" t="s">
        <v>240</v>
      </c>
      <c r="B25" s="66" t="s">
        <v>241</v>
      </c>
      <c r="C25" s="66"/>
      <c r="D25" s="71">
        <v>-8467</v>
      </c>
      <c r="E25" s="71">
        <v>-6566</v>
      </c>
      <c r="F25" s="71">
        <v>-7331</v>
      </c>
      <c r="G25" s="71">
        <v>-7313</v>
      </c>
      <c r="H25" s="71">
        <v>-6969</v>
      </c>
      <c r="I25" s="71">
        <v>-6453</v>
      </c>
      <c r="J25" s="71">
        <f t="shared" si="34"/>
        <v>-4122</v>
      </c>
      <c r="K25" s="78">
        <f t="shared" si="34"/>
        <v>-4141</v>
      </c>
      <c r="L25" s="78">
        <f t="shared" si="35"/>
        <v>-4125</v>
      </c>
      <c r="M25" s="78">
        <f t="shared" si="36"/>
        <v>-5715</v>
      </c>
      <c r="N25" s="78">
        <f t="shared" si="37"/>
        <v>-8329</v>
      </c>
      <c r="O25" s="78">
        <f t="shared" si="37"/>
        <v>-8016</v>
      </c>
      <c r="P25" s="78">
        <f t="shared" si="38"/>
        <v>-6045</v>
      </c>
      <c r="Q25" s="78">
        <f t="shared" si="39"/>
        <v>-3634</v>
      </c>
      <c r="R25" s="78">
        <f t="shared" si="39"/>
        <v>-2291</v>
      </c>
      <c r="S25" s="78">
        <f t="shared" si="39"/>
        <v>-1820</v>
      </c>
      <c r="T25" s="78">
        <f t="shared" si="40"/>
        <v>-1332</v>
      </c>
      <c r="U25" s="78">
        <f t="shared" si="41"/>
        <v>-1032</v>
      </c>
      <c r="V25" s="78">
        <f t="shared" si="41"/>
        <v>-788</v>
      </c>
      <c r="W25" s="78">
        <f t="shared" si="41"/>
        <v>-617</v>
      </c>
      <c r="X25" s="78">
        <f t="shared" si="42"/>
        <v>-317</v>
      </c>
      <c r="Y25" s="78">
        <f t="shared" si="43"/>
        <v>-208</v>
      </c>
      <c r="Z25" s="78">
        <f t="shared" si="43"/>
        <v>0</v>
      </c>
      <c r="AA25" s="78">
        <f t="shared" si="43"/>
        <v>-1253</v>
      </c>
      <c r="AB25" s="78">
        <f t="shared" si="44"/>
        <v>-12527</v>
      </c>
      <c r="AC25" s="78">
        <f t="shared" si="45"/>
        <v>-12638</v>
      </c>
      <c r="AD25" s="78">
        <f t="shared" si="45"/>
        <v>-31361</v>
      </c>
      <c r="AE25" s="78">
        <f t="shared" si="45"/>
        <v>-83759</v>
      </c>
      <c r="AF25" s="78">
        <f t="shared" si="46"/>
        <v>-98811</v>
      </c>
      <c r="AG25" s="78">
        <f t="shared" si="47"/>
        <v>-98521</v>
      </c>
      <c r="AH25" s="78">
        <f t="shared" si="47"/>
        <v>-104344</v>
      </c>
      <c r="AI25" s="78">
        <f t="shared" si="47"/>
        <v>-132036</v>
      </c>
      <c r="AJ25" s="78">
        <f t="shared" si="48"/>
        <v>-133157</v>
      </c>
      <c r="AK25" s="124"/>
    </row>
    <row r="26" spans="1:37" ht="15" thickBot="1">
      <c r="A26" s="72" t="s">
        <v>18</v>
      </c>
      <c r="B26" s="66" t="s">
        <v>70</v>
      </c>
      <c r="C26" s="66"/>
      <c r="D26" s="71">
        <v>-2958</v>
      </c>
      <c r="E26" s="71">
        <v>-2906</v>
      </c>
      <c r="F26" s="71">
        <v>-2887</v>
      </c>
      <c r="G26" s="71">
        <v>-4470</v>
      </c>
      <c r="H26" s="71">
        <v>-7094</v>
      </c>
      <c r="I26" s="71">
        <v>-7160</v>
      </c>
      <c r="J26" s="71">
        <f t="shared" si="34"/>
        <v>-7198</v>
      </c>
      <c r="K26" s="78">
        <f t="shared" si="34"/>
        <v>-7204</v>
      </c>
      <c r="L26" s="78">
        <f t="shared" si="35"/>
        <v>-12733</v>
      </c>
      <c r="M26" s="78">
        <f t="shared" si="36"/>
        <v>-15861</v>
      </c>
      <c r="N26" s="78">
        <f t="shared" si="37"/>
        <v>-16569</v>
      </c>
      <c r="O26" s="78">
        <f t="shared" si="37"/>
        <v>-15773</v>
      </c>
      <c r="P26" s="78">
        <f t="shared" si="38"/>
        <v>-15586</v>
      </c>
      <c r="Q26" s="78">
        <f t="shared" si="39"/>
        <v>-14913</v>
      </c>
      <c r="R26" s="78">
        <f t="shared" si="39"/>
        <v>-10968</v>
      </c>
      <c r="S26" s="78">
        <f t="shared" si="39"/>
        <v>-9974</v>
      </c>
      <c r="T26" s="78">
        <f t="shared" si="40"/>
        <v>-9641</v>
      </c>
      <c r="U26" s="78">
        <f t="shared" si="41"/>
        <v>-9727</v>
      </c>
      <c r="V26" s="78">
        <f t="shared" si="41"/>
        <v>-9834</v>
      </c>
      <c r="W26" s="78">
        <f t="shared" si="41"/>
        <v>-10874</v>
      </c>
      <c r="X26" s="78">
        <f t="shared" si="42"/>
        <v>-17819</v>
      </c>
      <c r="Y26" s="78">
        <f t="shared" si="43"/>
        <v>-22130</v>
      </c>
      <c r="Z26" s="78">
        <f t="shared" si="43"/>
        <v>-33673</v>
      </c>
      <c r="AA26" s="78">
        <f t="shared" si="43"/>
        <v>-36559</v>
      </c>
      <c r="AB26" s="78">
        <f t="shared" si="44"/>
        <v>-35967</v>
      </c>
      <c r="AC26" s="78">
        <f t="shared" si="45"/>
        <v>-35954</v>
      </c>
      <c r="AD26" s="78">
        <f t="shared" si="45"/>
        <v>-35262</v>
      </c>
      <c r="AE26" s="78">
        <f t="shared" si="45"/>
        <v>-34503</v>
      </c>
      <c r="AF26" s="78">
        <f t="shared" si="46"/>
        <v>-31575</v>
      </c>
      <c r="AG26" s="78">
        <f t="shared" si="47"/>
        <v>-31054</v>
      </c>
      <c r="AH26" s="78">
        <f t="shared" si="47"/>
        <v>-31475</v>
      </c>
      <c r="AI26" s="78">
        <f t="shared" si="47"/>
        <v>-31453</v>
      </c>
      <c r="AJ26" s="78">
        <f t="shared" si="48"/>
        <v>-30585</v>
      </c>
      <c r="AK26" s="124"/>
    </row>
    <row r="27" spans="1:37" ht="15" thickBot="1">
      <c r="A27" s="61" t="s">
        <v>309</v>
      </c>
      <c r="B27" s="66" t="s">
        <v>314</v>
      </c>
      <c r="C27" s="66"/>
      <c r="D27" s="71"/>
      <c r="E27" s="71"/>
      <c r="F27" s="71"/>
      <c r="G27" s="71"/>
      <c r="H27" s="88" t="s">
        <v>290</v>
      </c>
      <c r="I27" s="88" t="s">
        <v>290</v>
      </c>
      <c r="J27" s="88" t="s">
        <v>290</v>
      </c>
      <c r="K27" s="88" t="s">
        <v>290</v>
      </c>
      <c r="L27" s="78">
        <f t="shared" si="35"/>
        <v>-1651</v>
      </c>
      <c r="M27" s="78">
        <f t="shared" si="36"/>
        <v>-2017</v>
      </c>
      <c r="N27" s="78">
        <f t="shared" si="37"/>
        <v>-1979</v>
      </c>
      <c r="O27" s="78">
        <f t="shared" si="37"/>
        <v>-2229</v>
      </c>
      <c r="P27" s="78">
        <f t="shared" si="38"/>
        <v>-1927</v>
      </c>
      <c r="Q27" s="78">
        <f t="shared" si="39"/>
        <v>-2279</v>
      </c>
      <c r="R27" s="78">
        <f t="shared" si="39"/>
        <v>-2014</v>
      </c>
      <c r="S27" s="78">
        <f t="shared" si="39"/>
        <v>-2087</v>
      </c>
      <c r="T27" s="78">
        <f t="shared" si="40"/>
        <v>-2043</v>
      </c>
      <c r="U27" s="78">
        <f t="shared" si="41"/>
        <v>-2139</v>
      </c>
      <c r="V27" s="78">
        <f t="shared" si="41"/>
        <v>-1881</v>
      </c>
      <c r="W27" s="78">
        <f t="shared" si="41"/>
        <v>-1885</v>
      </c>
      <c r="X27" s="78">
        <f t="shared" si="42"/>
        <v>-2004</v>
      </c>
      <c r="Y27" s="78">
        <f t="shared" si="43"/>
        <v>-1995</v>
      </c>
      <c r="Z27" s="78">
        <f t="shared" si="43"/>
        <v>-1888</v>
      </c>
      <c r="AA27" s="78">
        <f t="shared" si="43"/>
        <v>-2196</v>
      </c>
      <c r="AB27" s="78">
        <f t="shared" si="44"/>
        <v>-2103</v>
      </c>
      <c r="AC27" s="78">
        <f t="shared" si="45"/>
        <v>-2838</v>
      </c>
      <c r="AD27" s="78">
        <f t="shared" si="45"/>
        <v>-2121</v>
      </c>
      <c r="AE27" s="78">
        <f t="shared" si="45"/>
        <v>-2801</v>
      </c>
      <c r="AF27" s="78">
        <f t="shared" si="46"/>
        <v>-2683</v>
      </c>
      <c r="AG27" s="78">
        <f t="shared" si="47"/>
        <v>-2904</v>
      </c>
      <c r="AH27" s="78">
        <f t="shared" si="47"/>
        <v>-2979</v>
      </c>
      <c r="AI27" s="78">
        <f t="shared" si="47"/>
        <v>-2954</v>
      </c>
      <c r="AJ27" s="78">
        <f t="shared" si="48"/>
        <v>-3686</v>
      </c>
      <c r="AK27" s="124"/>
    </row>
    <row r="28" spans="1:37" ht="15" thickBot="1">
      <c r="A28" s="72" t="s">
        <v>16</v>
      </c>
      <c r="B28" s="66" t="s">
        <v>230</v>
      </c>
      <c r="C28" s="66"/>
      <c r="D28" s="73">
        <v>0</v>
      </c>
      <c r="E28" s="73">
        <v>0</v>
      </c>
      <c r="F28" s="73">
        <v>0</v>
      </c>
      <c r="G28" s="73">
        <v>0</v>
      </c>
      <c r="H28" s="81">
        <v>0</v>
      </c>
      <c r="I28" s="73">
        <v>0</v>
      </c>
      <c r="J28" s="73">
        <f>+J60-I60</f>
        <v>0</v>
      </c>
      <c r="K28" s="78">
        <f>+K60-J60</f>
        <v>0</v>
      </c>
      <c r="L28" s="78">
        <f t="shared" si="35"/>
        <v>0</v>
      </c>
      <c r="M28" s="78">
        <f t="shared" si="36"/>
        <v>-89</v>
      </c>
      <c r="N28" s="78">
        <f t="shared" si="37"/>
        <v>-276</v>
      </c>
      <c r="O28" s="78">
        <f t="shared" si="37"/>
        <v>0</v>
      </c>
      <c r="P28" s="78">
        <f t="shared" si="38"/>
        <v>0</v>
      </c>
      <c r="Q28" s="78">
        <f t="shared" si="39"/>
        <v>0</v>
      </c>
      <c r="R28" s="78">
        <f t="shared" si="39"/>
        <v>0</v>
      </c>
      <c r="S28" s="78">
        <f t="shared" si="39"/>
        <v>0</v>
      </c>
      <c r="T28" s="78">
        <f t="shared" si="40"/>
        <v>0</v>
      </c>
      <c r="U28" s="78">
        <f t="shared" si="41"/>
        <v>0</v>
      </c>
      <c r="V28" s="78">
        <f>+V60-U60</f>
        <v>0</v>
      </c>
      <c r="W28" s="78">
        <f>+W60-V60</f>
        <v>0</v>
      </c>
      <c r="X28" s="78">
        <f t="shared" si="42"/>
        <v>0</v>
      </c>
      <c r="Y28" s="78">
        <f t="shared" si="43"/>
        <v>0</v>
      </c>
      <c r="Z28" s="78">
        <f t="shared" si="43"/>
        <v>0</v>
      </c>
      <c r="AA28" s="78">
        <f t="shared" si="43"/>
        <v>0</v>
      </c>
      <c r="AB28" s="78">
        <f t="shared" si="44"/>
        <v>0</v>
      </c>
      <c r="AC28" s="78">
        <f t="shared" si="45"/>
        <v>0</v>
      </c>
      <c r="AD28" s="78">
        <f t="shared" si="45"/>
        <v>0</v>
      </c>
      <c r="AE28" s="78">
        <f t="shared" si="45"/>
        <v>-17010</v>
      </c>
      <c r="AF28" s="78">
        <f t="shared" si="46"/>
        <v>-4516</v>
      </c>
      <c r="AG28" s="78">
        <f t="shared" si="47"/>
        <v>-3077</v>
      </c>
      <c r="AH28" s="78">
        <f t="shared" si="47"/>
        <v>-2912</v>
      </c>
      <c r="AI28" s="78">
        <f t="shared" si="47"/>
        <v>-3180</v>
      </c>
      <c r="AJ28" s="78">
        <f t="shared" si="48"/>
        <v>-1126</v>
      </c>
    </row>
    <row r="29" spans="1:37" ht="15" thickBot="1">
      <c r="A29" s="74" t="s">
        <v>32</v>
      </c>
      <c r="B29" s="58" t="s">
        <v>253</v>
      </c>
      <c r="C29" s="58"/>
      <c r="D29" s="71">
        <v>-99</v>
      </c>
      <c r="E29" s="71">
        <v>-85</v>
      </c>
      <c r="F29" s="71">
        <v>-93</v>
      </c>
      <c r="G29" s="71">
        <v>-118</v>
      </c>
      <c r="H29" s="71">
        <v>-70</v>
      </c>
      <c r="I29" s="71">
        <v>-70</v>
      </c>
      <c r="J29" s="71">
        <f>+J61-I61</f>
        <v>-72</v>
      </c>
      <c r="K29" s="78">
        <f>+K61-J61</f>
        <v>-69</v>
      </c>
      <c r="L29" s="78">
        <f t="shared" si="35"/>
        <v>-40</v>
      </c>
      <c r="M29" s="78">
        <f t="shared" si="36"/>
        <v>-41</v>
      </c>
      <c r="N29" s="78">
        <f t="shared" si="37"/>
        <v>-40</v>
      </c>
      <c r="O29" s="78">
        <f t="shared" si="37"/>
        <v>-40</v>
      </c>
      <c r="P29" s="78">
        <f t="shared" si="38"/>
        <v>-6</v>
      </c>
      <c r="Q29" s="78">
        <f t="shared" si="39"/>
        <v>-18</v>
      </c>
      <c r="R29" s="78">
        <f t="shared" si="39"/>
        <v>-11</v>
      </c>
      <c r="S29" s="78">
        <f t="shared" si="39"/>
        <v>-20</v>
      </c>
      <c r="T29" s="78">
        <f t="shared" si="40"/>
        <v>-1</v>
      </c>
      <c r="U29" s="78">
        <f t="shared" si="41"/>
        <v>-1</v>
      </c>
      <c r="V29" s="78">
        <f t="shared" si="41"/>
        <v>0</v>
      </c>
      <c r="W29" s="78">
        <f t="shared" si="41"/>
        <v>-1</v>
      </c>
      <c r="X29" s="78">
        <f t="shared" si="42"/>
        <v>0</v>
      </c>
      <c r="Y29" s="78">
        <f t="shared" si="43"/>
        <v>0</v>
      </c>
      <c r="Z29" s="78">
        <f t="shared" si="43"/>
        <v>0</v>
      </c>
      <c r="AA29" s="78">
        <f t="shared" si="43"/>
        <v>-1</v>
      </c>
      <c r="AB29" s="78">
        <f>+AB61</f>
        <v>0</v>
      </c>
      <c r="AC29" s="78">
        <f t="shared" si="45"/>
        <v>0</v>
      </c>
      <c r="AD29" s="78">
        <f t="shared" si="45"/>
        <v>0</v>
      </c>
      <c r="AE29" s="78">
        <f t="shared" si="45"/>
        <v>0</v>
      </c>
      <c r="AF29" s="78">
        <f>+AF61</f>
        <v>0</v>
      </c>
      <c r="AG29" s="78">
        <f t="shared" si="47"/>
        <v>0</v>
      </c>
      <c r="AH29" s="78">
        <f t="shared" si="47"/>
        <v>0</v>
      </c>
      <c r="AI29" s="78">
        <f t="shared" si="47"/>
        <v>0</v>
      </c>
      <c r="AJ29" s="78">
        <f>+AJ61</f>
        <v>0</v>
      </c>
      <c r="AK29" s="124"/>
    </row>
    <row r="30" spans="1:37" ht="15" thickBot="1">
      <c r="A30" s="80" t="s">
        <v>33</v>
      </c>
      <c r="B30" s="59" t="s">
        <v>83</v>
      </c>
      <c r="C30" s="59"/>
      <c r="D30" s="75">
        <f>+D29+D21</f>
        <v>-182862</v>
      </c>
      <c r="E30" s="75">
        <f t="shared" ref="E30:AH30" si="49">+E29+E21</f>
        <v>-172653</v>
      </c>
      <c r="F30" s="75">
        <f t="shared" si="49"/>
        <v>-174971</v>
      </c>
      <c r="G30" s="75">
        <f t="shared" si="49"/>
        <v>-171984</v>
      </c>
      <c r="H30" s="75">
        <f t="shared" si="49"/>
        <v>-181304</v>
      </c>
      <c r="I30" s="75">
        <f t="shared" si="49"/>
        <v>-183908</v>
      </c>
      <c r="J30" s="75">
        <f t="shared" si="49"/>
        <v>-184406</v>
      </c>
      <c r="K30" s="75">
        <f t="shared" si="49"/>
        <v>-194826</v>
      </c>
      <c r="L30" s="75">
        <f t="shared" si="49"/>
        <v>-210567</v>
      </c>
      <c r="M30" s="75">
        <f t="shared" si="49"/>
        <v>-220403</v>
      </c>
      <c r="N30" s="75">
        <f t="shared" si="49"/>
        <v>-252590</v>
      </c>
      <c r="O30" s="75">
        <f t="shared" si="49"/>
        <v>-254357</v>
      </c>
      <c r="P30" s="75">
        <f t="shared" si="49"/>
        <v>-251964</v>
      </c>
      <c r="Q30" s="75">
        <f t="shared" si="49"/>
        <v>-181896</v>
      </c>
      <c r="R30" s="75">
        <f t="shared" si="49"/>
        <v>-69051</v>
      </c>
      <c r="S30" s="75">
        <f t="shared" si="49"/>
        <v>-40608</v>
      </c>
      <c r="T30" s="75">
        <f t="shared" si="49"/>
        <v>-32638</v>
      </c>
      <c r="U30" s="75">
        <f t="shared" si="49"/>
        <v>-30092</v>
      </c>
      <c r="V30" s="75">
        <f t="shared" si="49"/>
        <v>-27532</v>
      </c>
      <c r="W30" s="75">
        <f t="shared" si="49"/>
        <v>-38688</v>
      </c>
      <c r="X30" s="75">
        <f t="shared" si="49"/>
        <v>-98276</v>
      </c>
      <c r="Y30" s="75">
        <f t="shared" si="49"/>
        <v>-313042</v>
      </c>
      <c r="Z30" s="75">
        <f t="shared" si="49"/>
        <v>-558933</v>
      </c>
      <c r="AA30" s="75">
        <f t="shared" si="49"/>
        <v>-692355</v>
      </c>
      <c r="AB30" s="75">
        <f t="shared" si="49"/>
        <v>-809309</v>
      </c>
      <c r="AC30" s="75">
        <f t="shared" si="49"/>
        <v>-751699</v>
      </c>
      <c r="AD30" s="75">
        <f t="shared" si="49"/>
        <v>-785386</v>
      </c>
      <c r="AE30" s="75">
        <f t="shared" si="49"/>
        <v>-835890</v>
      </c>
      <c r="AF30" s="75">
        <f t="shared" si="49"/>
        <v>-815182</v>
      </c>
      <c r="AG30" s="75">
        <f t="shared" si="49"/>
        <v>-823627</v>
      </c>
      <c r="AH30" s="75">
        <f t="shared" si="49"/>
        <v>-824087</v>
      </c>
      <c r="AI30" s="75">
        <f t="shared" ref="AI30:AJ30" si="50">+AI29+AI21</f>
        <v>-830287</v>
      </c>
      <c r="AJ30" s="75">
        <f t="shared" si="50"/>
        <v>-844598</v>
      </c>
    </row>
    <row r="31" spans="1:37">
      <c r="A31" s="89" t="s">
        <v>311</v>
      </c>
      <c r="B31" s="89" t="s">
        <v>310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</row>
    <row r="32" spans="1:37">
      <c r="A32" s="105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</row>
    <row r="33" spans="1:49" ht="15.5">
      <c r="A33" s="39" t="s">
        <v>256</v>
      </c>
      <c r="B33" s="39"/>
    </row>
    <row r="34" spans="1:49" ht="15.5">
      <c r="A34" s="39" t="s">
        <v>369</v>
      </c>
      <c r="B34" s="42"/>
      <c r="D34" s="42"/>
    </row>
    <row r="35" spans="1:49" s="119" customFormat="1">
      <c r="A35" s="98" t="s">
        <v>12</v>
      </c>
      <c r="B35" s="98" t="s">
        <v>99</v>
      </c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</row>
    <row r="36" spans="1:49" s="119" customFormat="1" ht="24">
      <c r="A36" s="118" t="s">
        <v>284</v>
      </c>
      <c r="B36" s="118" t="s">
        <v>368</v>
      </c>
      <c r="C36" s="115" t="s">
        <v>255</v>
      </c>
      <c r="D36" s="115" t="s">
        <v>179</v>
      </c>
      <c r="E36" s="115" t="s">
        <v>181</v>
      </c>
      <c r="F36" s="115" t="s">
        <v>184</v>
      </c>
      <c r="G36" s="115" t="s">
        <v>254</v>
      </c>
      <c r="H36" s="115" t="s">
        <v>192</v>
      </c>
      <c r="I36" s="115" t="s">
        <v>267</v>
      </c>
      <c r="J36" s="115" t="s">
        <v>299</v>
      </c>
      <c r="K36" s="115" t="s">
        <v>305</v>
      </c>
      <c r="L36" s="115" t="s">
        <v>307</v>
      </c>
      <c r="M36" s="115" t="s">
        <v>317</v>
      </c>
      <c r="N36" s="115" t="s">
        <v>322</v>
      </c>
      <c r="O36" s="115" t="s">
        <v>325</v>
      </c>
      <c r="P36" s="115" t="s">
        <v>400</v>
      </c>
      <c r="Q36" s="115" t="s">
        <v>471</v>
      </c>
      <c r="R36" s="115" t="s">
        <v>476</v>
      </c>
      <c r="S36" s="115" t="s">
        <v>485</v>
      </c>
      <c r="T36" s="115" t="s">
        <v>489</v>
      </c>
      <c r="U36" s="115" t="s">
        <v>494</v>
      </c>
      <c r="V36" s="115" t="s">
        <v>506</v>
      </c>
      <c r="W36" s="115" t="s">
        <v>511</v>
      </c>
      <c r="X36" s="115" t="s">
        <v>515</v>
      </c>
      <c r="Y36" s="115" t="s">
        <v>522</v>
      </c>
      <c r="Z36" s="115" t="s">
        <v>528</v>
      </c>
      <c r="AA36" s="115" t="s">
        <v>532</v>
      </c>
      <c r="AB36" s="115" t="s">
        <v>547</v>
      </c>
      <c r="AC36" s="115" t="s">
        <v>647</v>
      </c>
      <c r="AD36" s="115" t="s">
        <v>651</v>
      </c>
      <c r="AE36" s="115" t="s">
        <v>662</v>
      </c>
      <c r="AF36" s="115" t="s">
        <v>666</v>
      </c>
      <c r="AG36" s="115" t="s">
        <v>673</v>
      </c>
      <c r="AH36" s="115" t="s">
        <v>681</v>
      </c>
      <c r="AI36" s="115" t="s">
        <v>686</v>
      </c>
      <c r="AJ36" s="115" t="s">
        <v>690</v>
      </c>
      <c r="AK36" s="124"/>
      <c r="AL36" s="124"/>
      <c r="AM36" s="124"/>
    </row>
    <row r="37" spans="1:49" ht="24.5" thickBot="1">
      <c r="A37" s="60" t="s">
        <v>277</v>
      </c>
      <c r="B37" s="60" t="s">
        <v>268</v>
      </c>
      <c r="C37" s="76">
        <f>+C38</f>
        <v>267442</v>
      </c>
      <c r="D37" s="76">
        <f t="shared" ref="D37:AJ37" si="51">+D38</f>
        <v>81289</v>
      </c>
      <c r="E37" s="76">
        <f t="shared" si="51"/>
        <v>160749</v>
      </c>
      <c r="F37" s="76">
        <f t="shared" si="51"/>
        <v>245534</v>
      </c>
      <c r="G37" s="76">
        <f t="shared" si="51"/>
        <v>328150</v>
      </c>
      <c r="H37" s="76">
        <f t="shared" si="51"/>
        <v>88336</v>
      </c>
      <c r="I37" s="76">
        <f t="shared" si="51"/>
        <v>174182</v>
      </c>
      <c r="J37" s="76">
        <f t="shared" si="51"/>
        <v>257535</v>
      </c>
      <c r="K37" s="76">
        <f t="shared" si="51"/>
        <v>352397</v>
      </c>
      <c r="L37" s="76">
        <f t="shared" si="51"/>
        <v>105093</v>
      </c>
      <c r="M37" s="76">
        <f t="shared" si="51"/>
        <v>199113</v>
      </c>
      <c r="N37" s="76">
        <f t="shared" si="51"/>
        <v>293772</v>
      </c>
      <c r="O37" s="76">
        <f t="shared" si="51"/>
        <v>394733</v>
      </c>
      <c r="P37" s="76">
        <f t="shared" si="51"/>
        <v>102120</v>
      </c>
      <c r="Q37" s="76">
        <f t="shared" si="51"/>
        <v>196010</v>
      </c>
      <c r="R37" s="76">
        <f t="shared" si="51"/>
        <v>264201</v>
      </c>
      <c r="S37" s="76">
        <f t="shared" si="51"/>
        <v>313452</v>
      </c>
      <c r="T37" s="76">
        <f t="shared" si="51"/>
        <v>37009</v>
      </c>
      <c r="U37" s="76">
        <f t="shared" si="51"/>
        <v>73475</v>
      </c>
      <c r="V37" s="76">
        <f t="shared" si="51"/>
        <v>106825</v>
      </c>
      <c r="W37" s="76">
        <f t="shared" si="51"/>
        <v>157554</v>
      </c>
      <c r="X37" s="76">
        <f t="shared" si="51"/>
        <v>81986</v>
      </c>
      <c r="Y37" s="76">
        <f t="shared" si="51"/>
        <v>197970</v>
      </c>
      <c r="Z37" s="76">
        <f t="shared" si="51"/>
        <v>331708</v>
      </c>
      <c r="AA37" s="76">
        <f t="shared" si="51"/>
        <v>468575</v>
      </c>
      <c r="AB37" s="76">
        <f t="shared" si="51"/>
        <v>250011</v>
      </c>
      <c r="AC37" s="76">
        <f t="shared" si="51"/>
        <v>446739</v>
      </c>
      <c r="AD37" s="76">
        <f t="shared" si="51"/>
        <v>648685</v>
      </c>
      <c r="AE37" s="76">
        <f t="shared" si="51"/>
        <v>879957</v>
      </c>
      <c r="AF37" s="76">
        <f t="shared" si="51"/>
        <v>302107</v>
      </c>
      <c r="AG37" s="76">
        <f t="shared" si="51"/>
        <v>637833</v>
      </c>
      <c r="AH37" s="76">
        <f t="shared" si="51"/>
        <v>995446</v>
      </c>
      <c r="AI37" s="76">
        <f t="shared" si="51"/>
        <v>1351000</v>
      </c>
      <c r="AJ37" s="76">
        <f t="shared" si="51"/>
        <v>402716</v>
      </c>
      <c r="AL37" s="124"/>
      <c r="AM37" s="124"/>
      <c r="AO37" s="69"/>
      <c r="AP37" s="69"/>
      <c r="AQ37" s="69"/>
      <c r="AR37" s="69"/>
      <c r="AS37" s="69"/>
      <c r="AT37" s="69"/>
      <c r="AU37" s="69"/>
      <c r="AV37" s="69"/>
      <c r="AW37" s="69"/>
    </row>
    <row r="38" spans="1:49" ht="15" thickBot="1">
      <c r="A38" s="61" t="s">
        <v>17</v>
      </c>
      <c r="B38" s="63" t="s">
        <v>226</v>
      </c>
      <c r="C38" s="78">
        <v>267442</v>
      </c>
      <c r="D38" s="78">
        <v>81289</v>
      </c>
      <c r="E38" s="78">
        <v>160749</v>
      </c>
      <c r="F38" s="78">
        <v>245534</v>
      </c>
      <c r="G38" s="78">
        <v>328150</v>
      </c>
      <c r="H38" s="78">
        <v>88336</v>
      </c>
      <c r="I38" s="78">
        <v>174182</v>
      </c>
      <c r="J38" s="78">
        <v>257535</v>
      </c>
      <c r="K38" s="78">
        <v>352397</v>
      </c>
      <c r="L38" s="78">
        <v>105093</v>
      </c>
      <c r="M38" s="78">
        <v>199113</v>
      </c>
      <c r="N38" s="78">
        <v>293772</v>
      </c>
      <c r="O38" s="78">
        <v>394733</v>
      </c>
      <c r="P38" s="78">
        <v>102120</v>
      </c>
      <c r="Q38" s="78">
        <v>196010</v>
      </c>
      <c r="R38" s="78">
        <v>264201</v>
      </c>
      <c r="S38" s="78">
        <v>313452</v>
      </c>
      <c r="T38" s="78">
        <v>37009</v>
      </c>
      <c r="U38" s="78">
        <v>73475</v>
      </c>
      <c r="V38" s="78">
        <v>106825</v>
      </c>
      <c r="W38" s="78">
        <v>157554</v>
      </c>
      <c r="X38" s="78">
        <v>81986</v>
      </c>
      <c r="Y38" s="78">
        <v>197970</v>
      </c>
      <c r="Z38" s="78">
        <v>331708</v>
      </c>
      <c r="AA38" s="78">
        <v>468575</v>
      </c>
      <c r="AB38" s="78">
        <v>250011</v>
      </c>
      <c r="AC38" s="78">
        <v>446739</v>
      </c>
      <c r="AD38" s="78">
        <v>648685</v>
      </c>
      <c r="AE38" s="78">
        <v>879957</v>
      </c>
      <c r="AF38" s="78">
        <v>302107</v>
      </c>
      <c r="AG38" s="78">
        <v>637833</v>
      </c>
      <c r="AH38" s="78">
        <v>995446</v>
      </c>
      <c r="AI38" s="78">
        <v>1351000</v>
      </c>
      <c r="AJ38" s="78">
        <v>402716</v>
      </c>
      <c r="AL38" s="124"/>
      <c r="AM38" s="124"/>
      <c r="AO38" s="69"/>
      <c r="AP38" s="69"/>
      <c r="AQ38" s="69"/>
      <c r="AR38" s="69"/>
      <c r="AS38" s="69"/>
      <c r="AT38" s="69"/>
      <c r="AU38" s="69"/>
      <c r="AV38" s="69"/>
      <c r="AW38" s="69"/>
    </row>
    <row r="39" spans="1:49" ht="24.5" thickBot="1">
      <c r="A39" s="60" t="s">
        <v>278</v>
      </c>
      <c r="B39" s="60" t="s">
        <v>269</v>
      </c>
      <c r="C39" s="76">
        <f>+C40+C41+C42+C43+C44+C45</f>
        <v>2004237</v>
      </c>
      <c r="D39" s="76">
        <f t="shared" ref="D39:AH39" si="52">+D40+D41+D42+D43+D44+D45</f>
        <v>492984</v>
      </c>
      <c r="E39" s="76">
        <f t="shared" si="52"/>
        <v>1004526</v>
      </c>
      <c r="F39" s="76">
        <f t="shared" si="52"/>
        <v>1531006</v>
      </c>
      <c r="G39" s="76">
        <f t="shared" si="52"/>
        <v>2061199</v>
      </c>
      <c r="H39" s="76">
        <f t="shared" si="52"/>
        <v>493873</v>
      </c>
      <c r="I39" s="76">
        <f t="shared" si="52"/>
        <v>1003983</v>
      </c>
      <c r="J39" s="76">
        <f t="shared" si="52"/>
        <v>1537631</v>
      </c>
      <c r="K39" s="76">
        <f t="shared" si="52"/>
        <v>2092858</v>
      </c>
      <c r="L39" s="76">
        <f t="shared" si="52"/>
        <v>558697</v>
      </c>
      <c r="M39" s="76">
        <f t="shared" si="52"/>
        <v>1227785</v>
      </c>
      <c r="N39" s="76">
        <f t="shared" si="52"/>
        <v>2040780</v>
      </c>
      <c r="O39" s="76">
        <f t="shared" si="52"/>
        <v>2852907</v>
      </c>
      <c r="P39" s="76">
        <f t="shared" si="52"/>
        <v>793067</v>
      </c>
      <c r="Q39" s="76">
        <f t="shared" si="52"/>
        <v>1494399</v>
      </c>
      <c r="R39" s="76">
        <f t="shared" si="52"/>
        <v>2106937</v>
      </c>
      <c r="S39" s="76">
        <f t="shared" si="52"/>
        <v>2704672</v>
      </c>
      <c r="T39" s="76">
        <f t="shared" si="52"/>
        <v>598294</v>
      </c>
      <c r="U39" s="76">
        <f t="shared" si="52"/>
        <v>1225365</v>
      </c>
      <c r="V39" s="76">
        <f t="shared" si="52"/>
        <v>1870914</v>
      </c>
      <c r="W39" s="76">
        <f t="shared" si="52"/>
        <v>2620651</v>
      </c>
      <c r="X39" s="76">
        <f t="shared" si="52"/>
        <v>983668</v>
      </c>
      <c r="Y39" s="76">
        <f t="shared" si="52"/>
        <v>2384668</v>
      </c>
      <c r="Z39" s="76">
        <f t="shared" si="52"/>
        <v>2673532</v>
      </c>
      <c r="AA39" s="76">
        <f t="shared" si="52"/>
        <v>4560119</v>
      </c>
      <c r="AB39" s="76">
        <f t="shared" si="52"/>
        <v>1797093</v>
      </c>
      <c r="AC39" s="76">
        <f t="shared" si="52"/>
        <v>3662077</v>
      </c>
      <c r="AD39" s="76">
        <f t="shared" si="52"/>
        <v>5592321</v>
      </c>
      <c r="AE39" s="76">
        <f t="shared" si="52"/>
        <v>7446886</v>
      </c>
      <c r="AF39" s="76">
        <f t="shared" si="52"/>
        <v>1837987</v>
      </c>
      <c r="AG39" s="76">
        <f t="shared" si="52"/>
        <v>3479000</v>
      </c>
      <c r="AH39" s="76">
        <f t="shared" si="52"/>
        <v>5411939</v>
      </c>
      <c r="AI39" s="76">
        <f t="shared" ref="AI39:AJ39" si="53">+AI40+AI41+AI42+AI43+AI44+AI45</f>
        <v>7370740</v>
      </c>
      <c r="AJ39" s="76">
        <f t="shared" si="53"/>
        <v>1853919</v>
      </c>
      <c r="AL39" s="124"/>
      <c r="AM39" s="124"/>
      <c r="AO39" s="69"/>
      <c r="AP39" s="69"/>
      <c r="AQ39" s="69"/>
      <c r="AR39" s="69"/>
      <c r="AS39" s="69"/>
      <c r="AT39" s="69"/>
      <c r="AU39" s="69"/>
      <c r="AV39" s="69"/>
      <c r="AW39" s="69"/>
    </row>
    <row r="40" spans="1:49" ht="15" thickBot="1">
      <c r="A40" s="61" t="s">
        <v>259</v>
      </c>
      <c r="B40" s="63" t="s">
        <v>270</v>
      </c>
      <c r="C40" s="78">
        <v>25970</v>
      </c>
      <c r="D40" s="78">
        <v>6492</v>
      </c>
      <c r="E40" s="78">
        <v>13307</v>
      </c>
      <c r="F40" s="78">
        <v>20367</v>
      </c>
      <c r="G40" s="78">
        <v>27222</v>
      </c>
      <c r="H40" s="78">
        <v>2589</v>
      </c>
      <c r="I40" s="78">
        <v>5207</v>
      </c>
      <c r="J40" s="78">
        <v>7829</v>
      </c>
      <c r="K40" s="78">
        <v>10528</v>
      </c>
      <c r="L40" s="78">
        <v>2860</v>
      </c>
      <c r="M40" s="78">
        <v>5938</v>
      </c>
      <c r="N40" s="78">
        <v>9280</v>
      </c>
      <c r="O40" s="78">
        <v>12779</v>
      </c>
      <c r="P40" s="78">
        <v>3637</v>
      </c>
      <c r="Q40" s="78">
        <v>5069</v>
      </c>
      <c r="R40" s="78">
        <v>5148</v>
      </c>
      <c r="S40" s="78">
        <v>5252</v>
      </c>
      <c r="T40" s="78">
        <v>100</v>
      </c>
      <c r="U40" s="78">
        <v>206</v>
      </c>
      <c r="V40" s="78">
        <v>315</v>
      </c>
      <c r="W40" s="78">
        <v>3753</v>
      </c>
      <c r="X40" s="78">
        <v>12837</v>
      </c>
      <c r="Y40" s="78">
        <v>54148</v>
      </c>
      <c r="Z40" s="78">
        <v>108174</v>
      </c>
      <c r="AA40" s="78">
        <f>166873-504</f>
        <v>166369</v>
      </c>
      <c r="AB40" s="78">
        <v>55573</v>
      </c>
      <c r="AC40" s="78">
        <v>113974</v>
      </c>
      <c r="AD40" s="78">
        <v>170466</v>
      </c>
      <c r="AE40" s="78">
        <v>222277</v>
      </c>
      <c r="AF40" s="78">
        <v>52759</v>
      </c>
      <c r="AG40" s="78">
        <v>107029</v>
      </c>
      <c r="AH40" s="78">
        <v>163690</v>
      </c>
      <c r="AI40" s="78">
        <v>223301</v>
      </c>
      <c r="AJ40" s="78">
        <v>56122</v>
      </c>
      <c r="AL40" s="124"/>
      <c r="AM40" s="124"/>
      <c r="AO40" s="69"/>
      <c r="AP40" s="69"/>
      <c r="AQ40" s="69"/>
      <c r="AR40" s="69"/>
      <c r="AS40" s="69"/>
      <c r="AT40" s="69"/>
      <c r="AU40" s="69"/>
      <c r="AV40" s="69"/>
      <c r="AW40" s="69"/>
    </row>
    <row r="41" spans="1:49" ht="15" thickBot="1">
      <c r="A41" s="61" t="s">
        <v>540</v>
      </c>
      <c r="B41" s="63" t="s">
        <v>541</v>
      </c>
      <c r="C41" s="78">
        <v>1633572</v>
      </c>
      <c r="D41" s="78">
        <v>406659</v>
      </c>
      <c r="E41" s="78">
        <v>830122</v>
      </c>
      <c r="F41" s="78">
        <v>1270977</v>
      </c>
      <c r="G41" s="78">
        <v>1719426</v>
      </c>
      <c r="H41" s="78">
        <v>421510</v>
      </c>
      <c r="I41" s="78">
        <v>862807</v>
      </c>
      <c r="J41" s="78">
        <v>1324400</v>
      </c>
      <c r="K41" s="78">
        <v>1807004</v>
      </c>
      <c r="L41" s="78">
        <v>488624</v>
      </c>
      <c r="M41" s="78">
        <v>1079407</v>
      </c>
      <c r="N41" s="78">
        <v>1816641</v>
      </c>
      <c r="O41" s="78">
        <v>2553047</v>
      </c>
      <c r="P41" s="78">
        <v>718199</v>
      </c>
      <c r="Q41" s="78">
        <v>1363608</v>
      </c>
      <c r="R41" s="78">
        <v>1942389</v>
      </c>
      <c r="S41" s="78">
        <v>2512410</v>
      </c>
      <c r="T41" s="78">
        <v>569973</v>
      </c>
      <c r="U41" s="78">
        <v>1171869</v>
      </c>
      <c r="V41" s="78">
        <v>1793850</v>
      </c>
      <c r="W41" s="78">
        <v>2511866</v>
      </c>
      <c r="X41" s="78">
        <v>938577</v>
      </c>
      <c r="Y41" s="78">
        <v>2232785</v>
      </c>
      <c r="Z41" s="175">
        <f>3822972-1422893</f>
        <v>2400079</v>
      </c>
      <c r="AA41" s="175">
        <v>4165807</v>
      </c>
      <c r="AB41" s="78">
        <v>1641333</v>
      </c>
      <c r="AC41" s="78">
        <v>3304978</v>
      </c>
      <c r="AD41" s="78">
        <v>4989155</v>
      </c>
      <c r="AE41" s="175">
        <v>6562351</v>
      </c>
      <c r="AF41" s="78">
        <v>1534391</v>
      </c>
      <c r="AG41" s="175">
        <v>2860116</v>
      </c>
      <c r="AH41" s="175">
        <v>4465422</v>
      </c>
      <c r="AI41" s="175">
        <v>6074423</v>
      </c>
      <c r="AJ41" s="78">
        <v>1502653</v>
      </c>
      <c r="AL41" s="124"/>
      <c r="AM41" s="124"/>
      <c r="AO41" s="69"/>
      <c r="AP41" s="69"/>
      <c r="AQ41" s="69"/>
      <c r="AR41" s="69"/>
      <c r="AS41" s="69"/>
      <c r="AT41" s="69"/>
      <c r="AU41" s="69"/>
      <c r="AV41" s="69"/>
      <c r="AW41" s="69"/>
    </row>
    <row r="42" spans="1:49" ht="15" thickBot="1">
      <c r="A42" s="61" t="s">
        <v>17</v>
      </c>
      <c r="B42" s="63" t="s">
        <v>226</v>
      </c>
      <c r="C42" s="78">
        <v>0</v>
      </c>
      <c r="D42" s="78">
        <v>0</v>
      </c>
      <c r="E42" s="78">
        <v>0</v>
      </c>
      <c r="F42" s="78">
        <v>0</v>
      </c>
      <c r="G42" s="78">
        <v>0</v>
      </c>
      <c r="H42" s="78">
        <v>364</v>
      </c>
      <c r="I42" s="78">
        <v>731</v>
      </c>
      <c r="J42" s="78">
        <v>1112</v>
      </c>
      <c r="K42" s="78">
        <v>1493</v>
      </c>
      <c r="L42" s="78">
        <v>344</v>
      </c>
      <c r="M42" s="78">
        <v>689</v>
      </c>
      <c r="N42" s="78">
        <v>1118</v>
      </c>
      <c r="O42" s="78">
        <v>1528</v>
      </c>
      <c r="P42" s="78">
        <v>371</v>
      </c>
      <c r="Q42" s="78">
        <v>711</v>
      </c>
      <c r="R42" s="78">
        <v>898</v>
      </c>
      <c r="S42" s="78">
        <v>1065</v>
      </c>
      <c r="T42" s="78">
        <v>151</v>
      </c>
      <c r="U42" s="78">
        <v>301</v>
      </c>
      <c r="V42" s="78">
        <v>449</v>
      </c>
      <c r="W42" s="78">
        <v>620</v>
      </c>
      <c r="X42" s="78">
        <v>345</v>
      </c>
      <c r="Y42" s="78">
        <v>19628</v>
      </c>
      <c r="Z42" s="78">
        <v>45720</v>
      </c>
      <c r="AA42" s="78">
        <v>85566</v>
      </c>
      <c r="AB42" s="78">
        <v>73768</v>
      </c>
      <c r="AC42" s="78">
        <v>196514</v>
      </c>
      <c r="AD42" s="78">
        <v>362106</v>
      </c>
      <c r="AE42" s="78">
        <v>559642</v>
      </c>
      <c r="AF42" s="78">
        <v>229824</v>
      </c>
      <c r="AG42" s="78">
        <v>475063</v>
      </c>
      <c r="AH42" s="78">
        <v>727370</v>
      </c>
      <c r="AI42" s="78">
        <v>1002220</v>
      </c>
      <c r="AJ42" s="78">
        <v>278667</v>
      </c>
      <c r="AL42" s="124"/>
      <c r="AM42" s="124"/>
      <c r="AO42" s="69"/>
      <c r="AP42" s="69"/>
      <c r="AQ42" s="69"/>
      <c r="AR42" s="69"/>
      <c r="AS42" s="69"/>
      <c r="AT42" s="69"/>
      <c r="AU42" s="69"/>
      <c r="AV42" s="69"/>
      <c r="AW42" s="69"/>
    </row>
    <row r="43" spans="1:49" ht="24.5" thickBot="1">
      <c r="A43" s="61" t="s">
        <v>260</v>
      </c>
      <c r="B43" s="63" t="s">
        <v>271</v>
      </c>
      <c r="C43" s="78">
        <v>611</v>
      </c>
      <c r="D43" s="78">
        <v>151</v>
      </c>
      <c r="E43" s="78">
        <v>620</v>
      </c>
      <c r="F43" s="78">
        <v>846</v>
      </c>
      <c r="G43" s="78">
        <v>1559</v>
      </c>
      <c r="H43" s="78">
        <v>537</v>
      </c>
      <c r="I43" s="78">
        <v>859</v>
      </c>
      <c r="J43" s="78">
        <v>1136</v>
      </c>
      <c r="K43" s="78">
        <v>1780</v>
      </c>
      <c r="L43" s="78">
        <v>460</v>
      </c>
      <c r="M43" s="78">
        <v>1933</v>
      </c>
      <c r="N43" s="78">
        <v>2474</v>
      </c>
      <c r="O43" s="78">
        <v>3033</v>
      </c>
      <c r="P43" s="78">
        <v>522</v>
      </c>
      <c r="Q43" s="78">
        <v>572</v>
      </c>
      <c r="R43" s="78">
        <v>782</v>
      </c>
      <c r="S43" s="78">
        <v>793</v>
      </c>
      <c r="T43" s="78">
        <v>15</v>
      </c>
      <c r="U43" s="78">
        <v>-56</v>
      </c>
      <c r="V43" s="78">
        <v>-109</v>
      </c>
      <c r="W43" s="78">
        <v>287</v>
      </c>
      <c r="X43" s="78">
        <v>2269</v>
      </c>
      <c r="Y43" s="78">
        <v>6780</v>
      </c>
      <c r="Z43" s="78">
        <v>14264</v>
      </c>
      <c r="AA43" s="78">
        <f>25648+504</f>
        <v>26152</v>
      </c>
      <c r="AB43" s="78">
        <v>10281</v>
      </c>
      <c r="AC43" s="78">
        <v>15110</v>
      </c>
      <c r="AD43" s="78">
        <v>25531</v>
      </c>
      <c r="AE43" s="78">
        <v>34788</v>
      </c>
      <c r="AF43" s="78">
        <v>7651</v>
      </c>
      <c r="AG43" s="78">
        <v>12426</v>
      </c>
      <c r="AH43" s="78">
        <v>20668</v>
      </c>
      <c r="AI43" s="78">
        <v>26433</v>
      </c>
      <c r="AJ43" s="78">
        <v>3744</v>
      </c>
      <c r="AL43" s="124"/>
      <c r="AM43" s="124"/>
      <c r="AO43" s="69"/>
      <c r="AP43" s="69"/>
      <c r="AQ43" s="69"/>
      <c r="AR43" s="69"/>
      <c r="AS43" s="69"/>
      <c r="AT43" s="69"/>
      <c r="AU43" s="69"/>
      <c r="AV43" s="69"/>
      <c r="AW43" s="69"/>
    </row>
    <row r="44" spans="1:49" ht="15" thickBot="1">
      <c r="A44" s="61" t="s">
        <v>279</v>
      </c>
      <c r="B44" s="63" t="s">
        <v>272</v>
      </c>
      <c r="C44" s="78">
        <v>10170</v>
      </c>
      <c r="D44" s="78">
        <v>1895</v>
      </c>
      <c r="E44" s="78">
        <v>3973</v>
      </c>
      <c r="F44" s="78">
        <v>5751</v>
      </c>
      <c r="G44" s="78">
        <v>7018</v>
      </c>
      <c r="H44" s="78">
        <v>939</v>
      </c>
      <c r="I44" s="78">
        <v>2296</v>
      </c>
      <c r="J44" s="78">
        <v>4270</v>
      </c>
      <c r="K44" s="78">
        <v>5585</v>
      </c>
      <c r="L44" s="78">
        <v>1544</v>
      </c>
      <c r="M44" s="78">
        <v>7747</v>
      </c>
      <c r="N44" s="78">
        <v>10392</v>
      </c>
      <c r="O44" s="78">
        <v>12618</v>
      </c>
      <c r="P44" s="78">
        <v>5925</v>
      </c>
      <c r="Q44" s="78">
        <v>6439</v>
      </c>
      <c r="R44" s="78">
        <v>6437</v>
      </c>
      <c r="S44" s="78">
        <v>6436</v>
      </c>
      <c r="T44" s="78">
        <v>0</v>
      </c>
      <c r="U44" s="78">
        <v>0</v>
      </c>
      <c r="V44" s="78">
        <v>0</v>
      </c>
      <c r="W44" s="78">
        <v>461</v>
      </c>
      <c r="X44" s="78">
        <v>3191</v>
      </c>
      <c r="Y44" s="78">
        <v>9153</v>
      </c>
      <c r="Z44" s="78">
        <v>21892</v>
      </c>
      <c r="AA44" s="78">
        <v>26095</v>
      </c>
      <c r="AB44" s="78">
        <v>7449</v>
      </c>
      <c r="AC44" s="78">
        <v>18449</v>
      </c>
      <c r="AD44" s="78">
        <v>35793</v>
      </c>
      <c r="AE44" s="78">
        <v>67828</v>
      </c>
      <c r="AF44" s="78">
        <v>13362</v>
      </c>
      <c r="AG44" s="78">
        <v>24366</v>
      </c>
      <c r="AH44" s="78">
        <v>34789</v>
      </c>
      <c r="AI44" s="78">
        <v>44363</v>
      </c>
      <c r="AJ44" s="78">
        <v>12733</v>
      </c>
      <c r="AL44" s="124"/>
      <c r="AM44" s="124"/>
      <c r="AO44" s="69"/>
      <c r="AP44" s="69"/>
      <c r="AQ44" s="69"/>
      <c r="AR44" s="69"/>
      <c r="AS44" s="69"/>
      <c r="AT44" s="69"/>
      <c r="AU44" s="69"/>
      <c r="AV44" s="69"/>
      <c r="AW44" s="69"/>
    </row>
    <row r="45" spans="1:49" ht="15" thickBot="1">
      <c r="A45" s="61" t="s">
        <v>16</v>
      </c>
      <c r="B45" s="63" t="s">
        <v>230</v>
      </c>
      <c r="C45" s="78">
        <v>333914</v>
      </c>
      <c r="D45" s="78">
        <v>77787</v>
      </c>
      <c r="E45" s="78">
        <v>156504</v>
      </c>
      <c r="F45" s="78">
        <v>233065</v>
      </c>
      <c r="G45" s="78">
        <v>305974</v>
      </c>
      <c r="H45" s="78">
        <v>67934</v>
      </c>
      <c r="I45" s="78">
        <v>132083</v>
      </c>
      <c r="J45" s="78">
        <v>198884</v>
      </c>
      <c r="K45" s="78">
        <v>266468</v>
      </c>
      <c r="L45" s="78">
        <v>64865</v>
      </c>
      <c r="M45" s="78">
        <v>132071</v>
      </c>
      <c r="N45" s="78">
        <v>200875</v>
      </c>
      <c r="O45" s="78">
        <v>269902</v>
      </c>
      <c r="P45" s="78">
        <v>64413</v>
      </c>
      <c r="Q45" s="78">
        <v>118000</v>
      </c>
      <c r="R45" s="78">
        <v>151283</v>
      </c>
      <c r="S45" s="78">
        <v>178716</v>
      </c>
      <c r="T45" s="78">
        <v>28055</v>
      </c>
      <c r="U45" s="78">
        <v>53045</v>
      </c>
      <c r="V45" s="78">
        <v>76409</v>
      </c>
      <c r="W45" s="78">
        <v>103664</v>
      </c>
      <c r="X45" s="78">
        <v>26449</v>
      </c>
      <c r="Y45" s="78">
        <v>62174</v>
      </c>
      <c r="Z45" s="78">
        <v>83403</v>
      </c>
      <c r="AA45" s="78">
        <v>90130</v>
      </c>
      <c r="AB45" s="78">
        <v>8689</v>
      </c>
      <c r="AC45" s="78">
        <v>13052</v>
      </c>
      <c r="AD45" s="78">
        <v>9270</v>
      </c>
      <c r="AE45" s="78">
        <v>0</v>
      </c>
      <c r="AF45" s="78">
        <v>0</v>
      </c>
      <c r="AG45" s="78">
        <v>0</v>
      </c>
      <c r="AH45" s="78">
        <v>0</v>
      </c>
      <c r="AI45" s="78">
        <v>0</v>
      </c>
      <c r="AJ45" s="78">
        <v>0</v>
      </c>
      <c r="AL45" s="124"/>
      <c r="AM45" s="124"/>
      <c r="AO45" s="69"/>
      <c r="AP45" s="69"/>
      <c r="AQ45" s="69"/>
      <c r="AR45" s="69"/>
      <c r="AS45" s="69"/>
      <c r="AT45" s="69"/>
      <c r="AU45" s="69"/>
      <c r="AV45" s="69"/>
      <c r="AW45" s="69"/>
    </row>
    <row r="46" spans="1:49" ht="15" thickBot="1">
      <c r="A46" s="60" t="s">
        <v>280</v>
      </c>
      <c r="B46" s="60" t="s">
        <v>273</v>
      </c>
      <c r="C46" s="76">
        <f>+C47+C49</f>
        <v>5675</v>
      </c>
      <c r="D46" s="76">
        <f t="shared" ref="D46:G46" si="54">+D47+D49</f>
        <v>2077</v>
      </c>
      <c r="E46" s="76">
        <f t="shared" si="54"/>
        <v>4497</v>
      </c>
      <c r="F46" s="76">
        <f t="shared" si="54"/>
        <v>6484</v>
      </c>
      <c r="G46" s="76">
        <f t="shared" si="54"/>
        <v>9589</v>
      </c>
      <c r="H46" s="76">
        <f>+H47+H49+H48</f>
        <v>35788</v>
      </c>
      <c r="I46" s="76">
        <f t="shared" ref="I46:AH46" si="55">+I47+I49+I48</f>
        <v>79993</v>
      </c>
      <c r="J46" s="76">
        <f t="shared" si="55"/>
        <v>128513</v>
      </c>
      <c r="K46" s="76">
        <f t="shared" si="55"/>
        <v>177083</v>
      </c>
      <c r="L46" s="76">
        <f t="shared" si="55"/>
        <v>47108</v>
      </c>
      <c r="M46" s="76">
        <f t="shared" si="55"/>
        <v>88734</v>
      </c>
      <c r="N46" s="76">
        <f t="shared" si="55"/>
        <v>138860</v>
      </c>
      <c r="O46" s="76">
        <f t="shared" si="55"/>
        <v>189664</v>
      </c>
      <c r="P46" s="76">
        <f t="shared" si="55"/>
        <v>46413</v>
      </c>
      <c r="Q46" s="76">
        <f t="shared" si="55"/>
        <v>73305</v>
      </c>
      <c r="R46" s="76">
        <f t="shared" si="55"/>
        <v>90198.304999999993</v>
      </c>
      <c r="S46" s="76">
        <f t="shared" si="55"/>
        <v>108455</v>
      </c>
      <c r="T46" s="76">
        <f t="shared" si="55"/>
        <v>19629</v>
      </c>
      <c r="U46" s="76">
        <f t="shared" si="55"/>
        <v>41056</v>
      </c>
      <c r="V46" s="76">
        <f t="shared" si="55"/>
        <v>58567</v>
      </c>
      <c r="W46" s="76">
        <f t="shared" si="55"/>
        <v>63888</v>
      </c>
      <c r="X46" s="76">
        <f t="shared" si="55"/>
        <v>-6339</v>
      </c>
      <c r="Y46" s="76">
        <f t="shared" si="55"/>
        <v>-31399</v>
      </c>
      <c r="Z46" s="76">
        <f t="shared" si="55"/>
        <v>-46577</v>
      </c>
      <c r="AA46" s="76">
        <f t="shared" si="55"/>
        <v>-28797</v>
      </c>
      <c r="AB46" s="76">
        <f t="shared" si="55"/>
        <v>24329</v>
      </c>
      <c r="AC46" s="76">
        <f t="shared" si="55"/>
        <v>50142</v>
      </c>
      <c r="AD46" s="76">
        <f t="shared" si="55"/>
        <v>75099</v>
      </c>
      <c r="AE46" s="76">
        <f t="shared" si="55"/>
        <v>108930</v>
      </c>
      <c r="AF46" s="76">
        <f t="shared" si="55"/>
        <v>29333</v>
      </c>
      <c r="AG46" s="76">
        <f t="shared" si="55"/>
        <v>57793</v>
      </c>
      <c r="AH46" s="76">
        <f t="shared" si="55"/>
        <v>80410</v>
      </c>
      <c r="AI46" s="76">
        <f t="shared" ref="AI46:AJ46" si="56">+AI47+AI49+AI48</f>
        <v>101387</v>
      </c>
      <c r="AJ46" s="76">
        <f t="shared" si="56"/>
        <v>11418</v>
      </c>
      <c r="AL46" s="124"/>
      <c r="AM46" s="124"/>
      <c r="AO46" s="69"/>
      <c r="AP46" s="69"/>
      <c r="AQ46" s="69"/>
      <c r="AR46" s="69"/>
      <c r="AS46" s="69"/>
      <c r="AT46" s="69"/>
      <c r="AU46" s="69"/>
      <c r="AV46" s="69"/>
      <c r="AW46" s="69"/>
    </row>
    <row r="47" spans="1:49" ht="24.5" thickBot="1">
      <c r="A47" s="61" t="s">
        <v>281</v>
      </c>
      <c r="B47" s="63" t="s">
        <v>274</v>
      </c>
      <c r="C47" s="78">
        <v>0</v>
      </c>
      <c r="D47" s="78">
        <v>0</v>
      </c>
      <c r="E47" s="78">
        <v>0</v>
      </c>
      <c r="F47" s="78">
        <v>0</v>
      </c>
      <c r="G47" s="78">
        <v>0</v>
      </c>
      <c r="H47" s="78">
        <v>23170</v>
      </c>
      <c r="I47" s="78">
        <v>46818</v>
      </c>
      <c r="J47" s="78">
        <v>72052</v>
      </c>
      <c r="K47" s="78">
        <v>98605</v>
      </c>
      <c r="L47" s="78">
        <v>26000</v>
      </c>
      <c r="M47" s="78">
        <v>53284</v>
      </c>
      <c r="N47" s="78">
        <v>83233</v>
      </c>
      <c r="O47" s="78">
        <v>114665</v>
      </c>
      <c r="P47" s="78">
        <v>30128</v>
      </c>
      <c r="Q47" s="78">
        <v>43210</v>
      </c>
      <c r="R47" s="78">
        <v>55073</v>
      </c>
      <c r="S47" s="78">
        <v>69934</v>
      </c>
      <c r="T47" s="78">
        <v>16670</v>
      </c>
      <c r="U47" s="78">
        <v>35218</v>
      </c>
      <c r="V47" s="78">
        <v>48969</v>
      </c>
      <c r="W47" s="78">
        <v>55372</v>
      </c>
      <c r="X47" s="78">
        <v>7674</v>
      </c>
      <c r="Y47" s="78">
        <v>16621</v>
      </c>
      <c r="Z47" s="78">
        <v>23026</v>
      </c>
      <c r="AA47" s="78">
        <v>28604</v>
      </c>
      <c r="AB47" s="78">
        <v>3720</v>
      </c>
      <c r="AC47" s="78">
        <v>6965</v>
      </c>
      <c r="AD47" s="78">
        <v>8635</v>
      </c>
      <c r="AE47" s="78">
        <v>9995</v>
      </c>
      <c r="AF47" s="78">
        <v>258</v>
      </c>
      <c r="AG47" s="78">
        <v>1688</v>
      </c>
      <c r="AH47" s="78">
        <v>2737</v>
      </c>
      <c r="AI47" s="78">
        <v>3285</v>
      </c>
      <c r="AJ47" s="78">
        <v>310</v>
      </c>
      <c r="AL47" s="124"/>
      <c r="AM47" s="124"/>
      <c r="AO47" s="69"/>
      <c r="AP47" s="69"/>
      <c r="AQ47" s="69"/>
      <c r="AR47" s="69"/>
      <c r="AS47" s="69"/>
      <c r="AT47" s="69"/>
      <c r="AU47" s="69"/>
      <c r="AV47" s="69"/>
      <c r="AW47" s="69"/>
    </row>
    <row r="48" spans="1:49" ht="24.5" thickBot="1">
      <c r="A48" s="61" t="s">
        <v>501</v>
      </c>
      <c r="B48" s="63" t="s">
        <v>502</v>
      </c>
      <c r="C48" s="78"/>
      <c r="D48" s="78"/>
      <c r="E48" s="78"/>
      <c r="F48" s="78"/>
      <c r="G48" s="78"/>
      <c r="H48" s="78">
        <v>8402</v>
      </c>
      <c r="I48" s="78">
        <v>24115</v>
      </c>
      <c r="J48" s="78">
        <v>42255</v>
      </c>
      <c r="K48" s="78">
        <v>60419</v>
      </c>
      <c r="L48" s="78">
        <v>16339</v>
      </c>
      <c r="M48" s="78">
        <v>28135</v>
      </c>
      <c r="N48" s="78">
        <v>45747</v>
      </c>
      <c r="O48" s="78">
        <v>62468</v>
      </c>
      <c r="P48" s="78">
        <v>13869</v>
      </c>
      <c r="Q48" s="78">
        <v>26630</v>
      </c>
      <c r="R48" s="78">
        <v>31256.305</v>
      </c>
      <c r="S48" s="78">
        <v>34460</v>
      </c>
      <c r="T48" s="78">
        <v>2794</v>
      </c>
      <c r="U48" s="78">
        <v>5552</v>
      </c>
      <c r="V48" s="78">
        <v>9164</v>
      </c>
      <c r="W48" s="78">
        <v>7902</v>
      </c>
      <c r="X48" s="78">
        <v>-14548</v>
      </c>
      <c r="Y48" s="78">
        <v>-49541</v>
      </c>
      <c r="Z48" s="78">
        <v>-72908</v>
      </c>
      <c r="AA48" s="78">
        <v>-61492</v>
      </c>
      <c r="AB48" s="78">
        <v>19513</v>
      </c>
      <c r="AC48" s="78">
        <v>40839</v>
      </c>
      <c r="AD48" s="78">
        <v>63307</v>
      </c>
      <c r="AE48" s="78">
        <v>94069</v>
      </c>
      <c r="AF48" s="78">
        <v>26639</v>
      </c>
      <c r="AG48" s="78">
        <v>49762</v>
      </c>
      <c r="AH48" s="78">
        <v>68729</v>
      </c>
      <c r="AI48" s="78">
        <v>82139</v>
      </c>
      <c r="AJ48" s="78">
        <v>5351</v>
      </c>
      <c r="AL48" s="124"/>
      <c r="AM48" s="124"/>
      <c r="AO48" s="69"/>
      <c r="AP48" s="69"/>
      <c r="AQ48" s="69"/>
      <c r="AR48" s="69"/>
      <c r="AS48" s="69"/>
      <c r="AT48" s="69"/>
      <c r="AU48" s="69"/>
      <c r="AV48" s="69"/>
      <c r="AW48" s="69"/>
    </row>
    <row r="49" spans="1:49" ht="15" thickBot="1">
      <c r="A49" s="61" t="s">
        <v>282</v>
      </c>
      <c r="B49" s="63" t="s">
        <v>275</v>
      </c>
      <c r="C49" s="78">
        <v>5675</v>
      </c>
      <c r="D49" s="78">
        <v>2077</v>
      </c>
      <c r="E49" s="78">
        <v>4497</v>
      </c>
      <c r="F49" s="78">
        <v>6484</v>
      </c>
      <c r="G49" s="78">
        <v>9589</v>
      </c>
      <c r="H49" s="78">
        <v>4216</v>
      </c>
      <c r="I49" s="78">
        <v>9060</v>
      </c>
      <c r="J49" s="78">
        <v>14206</v>
      </c>
      <c r="K49" s="78">
        <v>18059</v>
      </c>
      <c r="L49" s="78">
        <v>4769</v>
      </c>
      <c r="M49" s="78">
        <v>7315</v>
      </c>
      <c r="N49" s="78">
        <v>9880</v>
      </c>
      <c r="O49" s="78">
        <v>12531</v>
      </c>
      <c r="P49" s="78">
        <v>2416</v>
      </c>
      <c r="Q49" s="78">
        <v>3465</v>
      </c>
      <c r="R49" s="78">
        <v>3869</v>
      </c>
      <c r="S49" s="78">
        <v>4061</v>
      </c>
      <c r="T49" s="78">
        <v>165</v>
      </c>
      <c r="U49" s="78">
        <v>286</v>
      </c>
      <c r="V49" s="78">
        <v>434</v>
      </c>
      <c r="W49" s="78">
        <v>614</v>
      </c>
      <c r="X49" s="78">
        <v>535</v>
      </c>
      <c r="Y49" s="78">
        <v>1521</v>
      </c>
      <c r="Z49" s="78">
        <v>3305</v>
      </c>
      <c r="AA49" s="78">
        <v>4091</v>
      </c>
      <c r="AB49" s="78">
        <v>1096</v>
      </c>
      <c r="AC49" s="78">
        <v>2338</v>
      </c>
      <c r="AD49" s="78">
        <v>3157</v>
      </c>
      <c r="AE49" s="78">
        <v>4866</v>
      </c>
      <c r="AF49" s="78">
        <v>2436</v>
      </c>
      <c r="AG49" s="78">
        <v>6343</v>
      </c>
      <c r="AH49" s="78">
        <v>8944</v>
      </c>
      <c r="AI49" s="78">
        <v>15963</v>
      </c>
      <c r="AJ49" s="78">
        <v>5757</v>
      </c>
      <c r="AL49" s="124"/>
      <c r="AM49" s="124"/>
      <c r="AO49" s="69"/>
      <c r="AP49" s="69"/>
      <c r="AQ49" s="69"/>
      <c r="AR49" s="69"/>
      <c r="AS49" s="69"/>
      <c r="AT49" s="69"/>
      <c r="AU49" s="69"/>
      <c r="AV49" s="69"/>
      <c r="AW49" s="69"/>
    </row>
    <row r="50" spans="1:49" ht="15" thickBot="1">
      <c r="A50" s="62" t="s">
        <v>283</v>
      </c>
      <c r="B50" s="62" t="s">
        <v>83</v>
      </c>
      <c r="C50" s="79">
        <f t="shared" ref="C50:S50" si="57">+C46+C39+C37</f>
        <v>2277354</v>
      </c>
      <c r="D50" s="79">
        <f t="shared" si="57"/>
        <v>576350</v>
      </c>
      <c r="E50" s="79">
        <f t="shared" si="57"/>
        <v>1169772</v>
      </c>
      <c r="F50" s="79">
        <f t="shared" si="57"/>
        <v>1783024</v>
      </c>
      <c r="G50" s="79">
        <f t="shared" si="57"/>
        <v>2398938</v>
      </c>
      <c r="H50" s="79">
        <f t="shared" si="57"/>
        <v>617997</v>
      </c>
      <c r="I50" s="79">
        <f t="shared" si="57"/>
        <v>1258158</v>
      </c>
      <c r="J50" s="79">
        <f t="shared" si="57"/>
        <v>1923679</v>
      </c>
      <c r="K50" s="79">
        <f t="shared" si="57"/>
        <v>2622338</v>
      </c>
      <c r="L50" s="79">
        <f t="shared" si="57"/>
        <v>710898</v>
      </c>
      <c r="M50" s="79">
        <f t="shared" si="57"/>
        <v>1515632</v>
      </c>
      <c r="N50" s="79">
        <f t="shared" si="57"/>
        <v>2473412</v>
      </c>
      <c r="O50" s="79">
        <f t="shared" si="57"/>
        <v>3437304</v>
      </c>
      <c r="P50" s="79">
        <f t="shared" si="57"/>
        <v>941600</v>
      </c>
      <c r="Q50" s="79">
        <f t="shared" si="57"/>
        <v>1763714</v>
      </c>
      <c r="R50" s="79">
        <f t="shared" si="57"/>
        <v>2461336.3050000002</v>
      </c>
      <c r="S50" s="79">
        <f t="shared" si="57"/>
        <v>3126579</v>
      </c>
      <c r="T50" s="79">
        <f>+T46+T39+T37</f>
        <v>654932</v>
      </c>
      <c r="U50" s="79">
        <f t="shared" ref="U50:AH50" si="58">+U46+U39+U37</f>
        <v>1339896</v>
      </c>
      <c r="V50" s="79">
        <f t="shared" si="58"/>
        <v>2036306</v>
      </c>
      <c r="W50" s="79">
        <f t="shared" si="58"/>
        <v>2842093</v>
      </c>
      <c r="X50" s="79">
        <f t="shared" si="58"/>
        <v>1059315</v>
      </c>
      <c r="Y50" s="79">
        <f t="shared" si="58"/>
        <v>2551239</v>
      </c>
      <c r="Z50" s="79">
        <f t="shared" si="58"/>
        <v>2958663</v>
      </c>
      <c r="AA50" s="79">
        <f t="shared" si="58"/>
        <v>4999897</v>
      </c>
      <c r="AB50" s="79">
        <f t="shared" si="58"/>
        <v>2071433</v>
      </c>
      <c r="AC50" s="79">
        <f t="shared" si="58"/>
        <v>4158958</v>
      </c>
      <c r="AD50" s="79">
        <f t="shared" si="58"/>
        <v>6316105</v>
      </c>
      <c r="AE50" s="79">
        <f t="shared" si="58"/>
        <v>8435773</v>
      </c>
      <c r="AF50" s="79">
        <f t="shared" si="58"/>
        <v>2169427</v>
      </c>
      <c r="AG50" s="79">
        <f t="shared" si="58"/>
        <v>4174626</v>
      </c>
      <c r="AH50" s="79">
        <f t="shared" si="58"/>
        <v>6487795</v>
      </c>
      <c r="AI50" s="79">
        <f t="shared" ref="AI50:AJ50" si="59">+AI46+AI39+AI37</f>
        <v>8823127</v>
      </c>
      <c r="AJ50" s="79">
        <f t="shared" si="59"/>
        <v>2268053</v>
      </c>
      <c r="AL50" s="124"/>
      <c r="AM50" s="124"/>
      <c r="AO50" s="69"/>
      <c r="AP50" s="69"/>
      <c r="AQ50" s="69"/>
      <c r="AR50" s="69"/>
      <c r="AS50" s="69"/>
      <c r="AT50" s="69"/>
      <c r="AU50" s="69"/>
      <c r="AV50" s="69"/>
      <c r="AW50" s="69"/>
    </row>
    <row r="51" spans="1:49" ht="15" thickBot="1"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AM51" s="124"/>
    </row>
    <row r="52" spans="1:49" s="119" customFormat="1" ht="24.5" thickBot="1">
      <c r="A52" s="121" t="s">
        <v>286</v>
      </c>
      <c r="B52" s="122"/>
      <c r="C52" s="115" t="s">
        <v>255</v>
      </c>
      <c r="D52" s="115" t="s">
        <v>179</v>
      </c>
      <c r="E52" s="115" t="s">
        <v>181</v>
      </c>
      <c r="F52" s="115" t="s">
        <v>184</v>
      </c>
      <c r="G52" s="115" t="s">
        <v>254</v>
      </c>
      <c r="H52" s="115" t="s">
        <v>192</v>
      </c>
      <c r="I52" s="115" t="s">
        <v>267</v>
      </c>
      <c r="J52" s="115" t="s">
        <v>299</v>
      </c>
      <c r="K52" s="115" t="s">
        <v>305</v>
      </c>
      <c r="L52" s="115" t="s">
        <v>307</v>
      </c>
      <c r="M52" s="115" t="s">
        <v>317</v>
      </c>
      <c r="N52" s="115" t="s">
        <v>322</v>
      </c>
      <c r="O52" s="115" t="s">
        <v>325</v>
      </c>
      <c r="P52" s="115" t="s">
        <v>400</v>
      </c>
      <c r="Q52" s="115" t="s">
        <v>471</v>
      </c>
      <c r="R52" s="115" t="s">
        <v>476</v>
      </c>
      <c r="S52" s="115" t="s">
        <v>485</v>
      </c>
      <c r="T52" s="115" t="s">
        <v>489</v>
      </c>
      <c r="U52" s="115" t="s">
        <v>494</v>
      </c>
      <c r="V52" s="115" t="s">
        <v>506</v>
      </c>
      <c r="W52" s="115" t="s">
        <v>511</v>
      </c>
      <c r="X52" s="115" t="s">
        <v>515</v>
      </c>
      <c r="Y52" s="115" t="s">
        <v>522</v>
      </c>
      <c r="Z52" s="115" t="s">
        <v>528</v>
      </c>
      <c r="AA52" s="115" t="s">
        <v>532</v>
      </c>
      <c r="AB52" s="115" t="s">
        <v>547</v>
      </c>
      <c r="AC52" s="115" t="s">
        <v>647</v>
      </c>
      <c r="AD52" s="115" t="s">
        <v>651</v>
      </c>
      <c r="AE52" s="115" t="s">
        <v>662</v>
      </c>
      <c r="AF52" s="115" t="s">
        <v>666</v>
      </c>
      <c r="AG52" s="115" t="s">
        <v>673</v>
      </c>
      <c r="AH52" s="115" t="s">
        <v>681</v>
      </c>
      <c r="AI52" s="115" t="s">
        <v>686</v>
      </c>
      <c r="AJ52" s="115" t="s">
        <v>690</v>
      </c>
    </row>
    <row r="53" spans="1:49" ht="15" thickBot="1">
      <c r="A53" s="64" t="s">
        <v>236</v>
      </c>
      <c r="B53" s="57" t="s">
        <v>276</v>
      </c>
      <c r="C53" s="68">
        <f>+C54+C55+C56+C57+C58+C60</f>
        <v>-770981</v>
      </c>
      <c r="D53" s="68">
        <f t="shared" ref="D53:K53" si="60">+D54+D55+D56+D57+D58+D60</f>
        <v>-182763</v>
      </c>
      <c r="E53" s="68">
        <f t="shared" si="60"/>
        <v>-355331</v>
      </c>
      <c r="F53" s="68">
        <f t="shared" si="60"/>
        <v>-530209</v>
      </c>
      <c r="G53" s="68">
        <f t="shared" si="60"/>
        <v>-702075</v>
      </c>
      <c r="H53" s="68">
        <f t="shared" si="60"/>
        <v>-181234</v>
      </c>
      <c r="I53" s="68">
        <f t="shared" si="60"/>
        <v>-365072</v>
      </c>
      <c r="J53" s="68">
        <f t="shared" si="60"/>
        <v>-549406</v>
      </c>
      <c r="K53" s="68">
        <f t="shared" si="60"/>
        <v>-744163</v>
      </c>
      <c r="L53" s="68">
        <f t="shared" ref="L53:AH53" si="61">+L54+L55+L56+L57+L58+L60+L59</f>
        <v>-210527</v>
      </c>
      <c r="M53" s="68">
        <f t="shared" si="61"/>
        <v>-430889</v>
      </c>
      <c r="N53" s="68">
        <f t="shared" si="61"/>
        <v>-683439</v>
      </c>
      <c r="O53" s="68">
        <f t="shared" si="61"/>
        <v>-937756</v>
      </c>
      <c r="P53" s="68">
        <f t="shared" si="61"/>
        <v>-251958</v>
      </c>
      <c r="Q53" s="68">
        <f t="shared" si="61"/>
        <v>-433836</v>
      </c>
      <c r="R53" s="68">
        <f t="shared" si="61"/>
        <v>-502876</v>
      </c>
      <c r="S53" s="68">
        <f t="shared" si="61"/>
        <v>-543464</v>
      </c>
      <c r="T53" s="68">
        <f t="shared" si="61"/>
        <v>-32637</v>
      </c>
      <c r="U53" s="68">
        <f t="shared" si="61"/>
        <v>-62728</v>
      </c>
      <c r="V53" s="68">
        <f t="shared" si="61"/>
        <v>-90260</v>
      </c>
      <c r="W53" s="68">
        <f t="shared" si="61"/>
        <v>-128947</v>
      </c>
      <c r="X53" s="68">
        <f t="shared" si="61"/>
        <v>-98276</v>
      </c>
      <c r="Y53" s="68">
        <f t="shared" si="61"/>
        <v>-411318</v>
      </c>
      <c r="Z53" s="68">
        <f t="shared" si="61"/>
        <v>-970251</v>
      </c>
      <c r="AA53" s="68">
        <f t="shared" si="61"/>
        <v>-1662605</v>
      </c>
      <c r="AB53" s="68">
        <f t="shared" si="61"/>
        <v>-809309</v>
      </c>
      <c r="AC53" s="68">
        <f t="shared" si="61"/>
        <v>-1561008</v>
      </c>
      <c r="AD53" s="68">
        <f t="shared" si="61"/>
        <v>-2346394</v>
      </c>
      <c r="AE53" s="68">
        <f t="shared" si="61"/>
        <v>-3182284</v>
      </c>
      <c r="AF53" s="68">
        <f t="shared" si="61"/>
        <v>-815182</v>
      </c>
      <c r="AG53" s="68">
        <f t="shared" si="61"/>
        <v>-1638809</v>
      </c>
      <c r="AH53" s="68">
        <f t="shared" si="61"/>
        <v>-2462896</v>
      </c>
      <c r="AI53" s="68">
        <f t="shared" ref="AI53:AJ53" si="62">+AI54+AI55+AI56+AI57+AI58+AI60+AI59</f>
        <v>-3293183</v>
      </c>
      <c r="AJ53" s="68">
        <f t="shared" si="62"/>
        <v>-844598</v>
      </c>
      <c r="AL53" s="124"/>
      <c r="AO53" s="69"/>
      <c r="AP53" s="69"/>
      <c r="AQ53" s="69"/>
      <c r="AR53" s="69"/>
      <c r="AU53" s="69"/>
      <c r="AV53" s="69"/>
      <c r="AW53" s="69"/>
    </row>
    <row r="54" spans="1:49" ht="24.5" thickBot="1">
      <c r="A54" s="61" t="s">
        <v>285</v>
      </c>
      <c r="B54" s="66" t="s">
        <v>238</v>
      </c>
      <c r="C54" s="71">
        <v>-23446</v>
      </c>
      <c r="D54" s="71">
        <v>-6393</v>
      </c>
      <c r="E54" s="71">
        <v>-13471</v>
      </c>
      <c r="F54" s="71">
        <v>-22478</v>
      </c>
      <c r="G54" s="71">
        <v>-29133</v>
      </c>
      <c r="H54" s="71">
        <v>-6313</v>
      </c>
      <c r="I54" s="71">
        <v>-9984</v>
      </c>
      <c r="J54" s="71">
        <v>-15476</v>
      </c>
      <c r="K54" s="71">
        <v>-21816</v>
      </c>
      <c r="L54" s="71">
        <v>-6709</v>
      </c>
      <c r="M54" s="71">
        <v>-14478</v>
      </c>
      <c r="N54" s="71">
        <v>-22137</v>
      </c>
      <c r="O54" s="71">
        <v>-29424</v>
      </c>
      <c r="P54" s="71">
        <v>-6333</v>
      </c>
      <c r="Q54" s="71">
        <v>-12209</v>
      </c>
      <c r="R54" s="71">
        <v>-15865</v>
      </c>
      <c r="S54" s="71">
        <v>-18043</v>
      </c>
      <c r="T54" s="71">
        <v>-1916</v>
      </c>
      <c r="U54" s="71">
        <v>-3517</v>
      </c>
      <c r="V54" s="71">
        <v>-4790</v>
      </c>
      <c r="W54" s="71">
        <v>-6619</v>
      </c>
      <c r="X54" s="71">
        <v>-6362</v>
      </c>
      <c r="Y54" s="71">
        <v>-14587</v>
      </c>
      <c r="Z54" s="71">
        <v>-24602</v>
      </c>
      <c r="AA54" s="71">
        <v>-34590</v>
      </c>
      <c r="AB54" s="71">
        <v>-6386</v>
      </c>
      <c r="AC54" s="71">
        <v>-12006</v>
      </c>
      <c r="AD54" s="71">
        <v>-14104</v>
      </c>
      <c r="AE54" s="71">
        <v>-15003</v>
      </c>
      <c r="AF54" s="71">
        <v>-4968</v>
      </c>
      <c r="AG54" s="71">
        <v>-6254</v>
      </c>
      <c r="AH54" s="71">
        <v>-11066</v>
      </c>
      <c r="AI54" s="71">
        <v>-14120</v>
      </c>
      <c r="AJ54" s="71">
        <v>-3643</v>
      </c>
      <c r="AL54" s="124"/>
      <c r="AO54" s="69"/>
      <c r="AP54" s="69"/>
      <c r="AQ54" s="69"/>
      <c r="AR54" s="69"/>
      <c r="AU54" s="69"/>
      <c r="AV54" s="69"/>
      <c r="AW54" s="69"/>
    </row>
    <row r="55" spans="1:49" ht="15" thickBot="1">
      <c r="A55" s="61" t="s">
        <v>239</v>
      </c>
      <c r="B55" s="66" t="s">
        <v>69</v>
      </c>
      <c r="C55" s="71">
        <v>-690045</v>
      </c>
      <c r="D55" s="71">
        <v>-160720</v>
      </c>
      <c r="E55" s="71">
        <v>-313778</v>
      </c>
      <c r="F55" s="71">
        <v>-465691</v>
      </c>
      <c r="G55" s="71">
        <v>-615992</v>
      </c>
      <c r="H55" s="71">
        <v>-158741</v>
      </c>
      <c r="I55" s="71">
        <v>-322940</v>
      </c>
      <c r="J55" s="71">
        <v>-485494</v>
      </c>
      <c r="K55" s="71">
        <v>-660422</v>
      </c>
      <c r="L55" s="71">
        <v>-182830</v>
      </c>
      <c r="M55" s="71">
        <v>-370947</v>
      </c>
      <c r="N55" s="71">
        <v>-587544</v>
      </c>
      <c r="O55" s="71">
        <v>-806973</v>
      </c>
      <c r="P55" s="71">
        <v>-215765</v>
      </c>
      <c r="Q55" s="71">
        <v>-369569</v>
      </c>
      <c r="R55" s="71">
        <v>-419570</v>
      </c>
      <c r="S55" s="71">
        <v>-444088</v>
      </c>
      <c r="T55" s="71">
        <v>-17700</v>
      </c>
      <c r="U55" s="71">
        <v>-33288</v>
      </c>
      <c r="V55" s="71">
        <v>-47005</v>
      </c>
      <c r="W55" s="71">
        <v>-68744</v>
      </c>
      <c r="X55" s="71">
        <v>-64577</v>
      </c>
      <c r="Y55" s="71">
        <v>-328627</v>
      </c>
      <c r="Z55" s="71">
        <v>-821014</v>
      </c>
      <c r="AA55" s="71">
        <v>-1455102</v>
      </c>
      <c r="AB55" s="71">
        <v>-732390</v>
      </c>
      <c r="AC55" s="71">
        <v>-1422071</v>
      </c>
      <c r="AD55" s="71">
        <v>-2129822</v>
      </c>
      <c r="AE55" s="71">
        <v>-2823259</v>
      </c>
      <c r="AF55" s="71">
        <v>-663773</v>
      </c>
      <c r="AG55" s="71">
        <v>-1344752</v>
      </c>
      <c r="AH55" s="71">
        <v>-2009789</v>
      </c>
      <c r="AI55" s="71">
        <v>-2657076</v>
      </c>
      <c r="AJ55" s="71">
        <v>-660286</v>
      </c>
      <c r="AL55" s="124"/>
      <c r="AO55" s="69"/>
      <c r="AP55" s="69"/>
      <c r="AQ55" s="69"/>
      <c r="AR55" s="69"/>
      <c r="AU55" s="69"/>
      <c r="AV55" s="69"/>
      <c r="AW55" s="69"/>
    </row>
    <row r="56" spans="1:49" ht="15" thickBot="1">
      <c r="A56" s="61" t="s">
        <v>261</v>
      </c>
      <c r="B56" s="66" t="s">
        <v>272</v>
      </c>
      <c r="C56" s="71">
        <v>-10815</v>
      </c>
      <c r="D56" s="71">
        <v>-4225</v>
      </c>
      <c r="E56" s="71">
        <v>-7185</v>
      </c>
      <c r="F56" s="71">
        <v>-10925</v>
      </c>
      <c r="G56" s="71">
        <v>-14052</v>
      </c>
      <c r="H56" s="71">
        <v>-2117</v>
      </c>
      <c r="I56" s="71">
        <v>-4472</v>
      </c>
      <c r="J56" s="71">
        <v>-9440</v>
      </c>
      <c r="K56" s="71">
        <v>-11584</v>
      </c>
      <c r="L56" s="71">
        <v>-2479</v>
      </c>
      <c r="M56" s="71">
        <v>-3273</v>
      </c>
      <c r="N56" s="71">
        <v>-4414</v>
      </c>
      <c r="O56" s="71">
        <v>-5997</v>
      </c>
      <c r="P56" s="71">
        <v>-6302</v>
      </c>
      <c r="Q56" s="71">
        <v>-7674</v>
      </c>
      <c r="R56" s="71">
        <v>-7784</v>
      </c>
      <c r="S56" s="71">
        <v>-7795</v>
      </c>
      <c r="T56" s="71">
        <v>-5</v>
      </c>
      <c r="U56" s="71">
        <v>-9</v>
      </c>
      <c r="V56" s="71">
        <v>-48</v>
      </c>
      <c r="W56" s="71">
        <v>-1791</v>
      </c>
      <c r="X56" s="71">
        <v>-7197</v>
      </c>
      <c r="Y56" s="71">
        <v>-23631</v>
      </c>
      <c r="Z56" s="71">
        <v>-44601</v>
      </c>
      <c r="AA56" s="71">
        <v>-52871</v>
      </c>
      <c r="AB56" s="71">
        <v>-19936</v>
      </c>
      <c r="AC56" s="71">
        <v>-24904</v>
      </c>
      <c r="AD56" s="71">
        <v>-31697</v>
      </c>
      <c r="AE56" s="71">
        <v>-35178</v>
      </c>
      <c r="AF56" s="71">
        <v>-8856</v>
      </c>
      <c r="AG56" s="71">
        <v>-14662</v>
      </c>
      <c r="AH56" s="71">
        <v>-27190</v>
      </c>
      <c r="AI56" s="71">
        <v>-37513</v>
      </c>
      <c r="AJ56" s="71">
        <v>-12115</v>
      </c>
      <c r="AL56" s="124"/>
      <c r="AO56" s="69"/>
      <c r="AP56" s="69"/>
      <c r="AQ56" s="69"/>
      <c r="AR56" s="69"/>
      <c r="AU56" s="69"/>
      <c r="AV56" s="69"/>
      <c r="AW56" s="69"/>
    </row>
    <row r="57" spans="1:49" ht="15" thickBot="1">
      <c r="A57" s="61" t="s">
        <v>240</v>
      </c>
      <c r="B57" s="66" t="s">
        <v>241</v>
      </c>
      <c r="C57" s="71">
        <v>-33831</v>
      </c>
      <c r="D57" s="71">
        <v>-8467</v>
      </c>
      <c r="E57" s="71">
        <v>-15033</v>
      </c>
      <c r="F57" s="71">
        <v>-22364</v>
      </c>
      <c r="G57" s="71">
        <v>-29677</v>
      </c>
      <c r="H57" s="71">
        <v>-6969</v>
      </c>
      <c r="I57" s="71">
        <v>-13422</v>
      </c>
      <c r="J57" s="71">
        <v>-17544</v>
      </c>
      <c r="K57" s="71">
        <v>-21685</v>
      </c>
      <c r="L57" s="71">
        <v>-4125</v>
      </c>
      <c r="M57" s="71">
        <v>-9840</v>
      </c>
      <c r="N57" s="71">
        <v>-18169</v>
      </c>
      <c r="O57" s="71">
        <v>-26185</v>
      </c>
      <c r="P57" s="71">
        <v>-6045</v>
      </c>
      <c r="Q57" s="71">
        <v>-9679</v>
      </c>
      <c r="R57" s="71">
        <v>-11970</v>
      </c>
      <c r="S57" s="71">
        <v>-13790</v>
      </c>
      <c r="T57" s="71">
        <v>-1332</v>
      </c>
      <c r="U57" s="71">
        <v>-2364</v>
      </c>
      <c r="V57" s="71">
        <v>-3152</v>
      </c>
      <c r="W57" s="71">
        <v>-3769</v>
      </c>
      <c r="X57" s="71">
        <v>-317</v>
      </c>
      <c r="Y57" s="71">
        <v>-525</v>
      </c>
      <c r="Z57" s="71">
        <v>-525</v>
      </c>
      <c r="AA57" s="71">
        <v>-1778</v>
      </c>
      <c r="AB57" s="71">
        <v>-12527</v>
      </c>
      <c r="AC57" s="71">
        <v>-25165</v>
      </c>
      <c r="AD57" s="71">
        <v>-56526</v>
      </c>
      <c r="AE57" s="71">
        <v>-140285</v>
      </c>
      <c r="AF57" s="71">
        <v>-98811</v>
      </c>
      <c r="AG57" s="71">
        <v>-197332</v>
      </c>
      <c r="AH57" s="71">
        <v>-301676</v>
      </c>
      <c r="AI57" s="71">
        <v>-433712</v>
      </c>
      <c r="AJ57" s="71">
        <v>-133157</v>
      </c>
      <c r="AL57" s="124"/>
      <c r="AO57" s="69"/>
      <c r="AP57" s="69"/>
      <c r="AQ57" s="69"/>
      <c r="AR57" s="69"/>
      <c r="AU57" s="69"/>
      <c r="AV57" s="69"/>
      <c r="AW57" s="69"/>
    </row>
    <row r="58" spans="1:49" ht="15" thickBot="1">
      <c r="A58" s="61" t="s">
        <v>18</v>
      </c>
      <c r="B58" s="66" t="s">
        <v>70</v>
      </c>
      <c r="C58" s="71">
        <v>-12844</v>
      </c>
      <c r="D58" s="71">
        <v>-2958</v>
      </c>
      <c r="E58" s="71">
        <v>-5864</v>
      </c>
      <c r="F58" s="71">
        <v>-8751</v>
      </c>
      <c r="G58" s="71">
        <v>-13221</v>
      </c>
      <c r="H58" s="71">
        <v>-7094</v>
      </c>
      <c r="I58" s="71">
        <v>-14254</v>
      </c>
      <c r="J58" s="71">
        <v>-21452</v>
      </c>
      <c r="K58" s="71">
        <v>-28656</v>
      </c>
      <c r="L58" s="71">
        <v>-12733</v>
      </c>
      <c r="M58" s="71">
        <v>-28594</v>
      </c>
      <c r="N58" s="71">
        <v>-45163</v>
      </c>
      <c r="O58" s="71">
        <v>-60936</v>
      </c>
      <c r="P58" s="71">
        <v>-15586</v>
      </c>
      <c r="Q58" s="71">
        <v>-30499</v>
      </c>
      <c r="R58" s="71">
        <v>-41467</v>
      </c>
      <c r="S58" s="71">
        <v>-51441</v>
      </c>
      <c r="T58" s="71">
        <v>-9641</v>
      </c>
      <c r="U58" s="71">
        <v>-19368</v>
      </c>
      <c r="V58" s="71">
        <v>-29202</v>
      </c>
      <c r="W58" s="71">
        <v>-40076</v>
      </c>
      <c r="X58" s="71">
        <v>-17819</v>
      </c>
      <c r="Y58" s="71">
        <v>-39949</v>
      </c>
      <c r="Z58" s="71">
        <v>-73622</v>
      </c>
      <c r="AA58" s="71">
        <v>-110181</v>
      </c>
      <c r="AB58" s="71">
        <v>-35967</v>
      </c>
      <c r="AC58" s="71">
        <v>-71921</v>
      </c>
      <c r="AD58" s="71">
        <v>-107183</v>
      </c>
      <c r="AE58" s="71">
        <v>-141686</v>
      </c>
      <c r="AF58" s="71">
        <v>-31575</v>
      </c>
      <c r="AG58" s="71">
        <v>-62629</v>
      </c>
      <c r="AH58" s="71">
        <v>-94104</v>
      </c>
      <c r="AI58" s="71">
        <v>-125557</v>
      </c>
      <c r="AJ58" s="71">
        <v>-30585</v>
      </c>
      <c r="AL58" s="124"/>
      <c r="AO58" s="69"/>
      <c r="AP58" s="69"/>
      <c r="AQ58" s="69"/>
      <c r="AR58" s="69"/>
      <c r="AU58" s="69"/>
      <c r="AV58" s="69"/>
      <c r="AW58" s="69"/>
    </row>
    <row r="59" spans="1:49" ht="15" thickBot="1">
      <c r="A59" s="61" t="s">
        <v>309</v>
      </c>
      <c r="B59" s="66" t="s">
        <v>314</v>
      </c>
      <c r="C59" s="71"/>
      <c r="D59" s="71"/>
      <c r="E59" s="71"/>
      <c r="F59" s="71"/>
      <c r="G59" s="71"/>
      <c r="H59" s="88" t="s">
        <v>290</v>
      </c>
      <c r="I59" s="88" t="s">
        <v>290</v>
      </c>
      <c r="J59" s="88" t="s">
        <v>290</v>
      </c>
      <c r="K59" s="88" t="s">
        <v>290</v>
      </c>
      <c r="L59" s="71">
        <v>-1651</v>
      </c>
      <c r="M59" s="71">
        <v>-3668</v>
      </c>
      <c r="N59" s="71">
        <v>-5647</v>
      </c>
      <c r="O59" s="71">
        <v>-7876</v>
      </c>
      <c r="P59" s="71">
        <v>-1927</v>
      </c>
      <c r="Q59" s="71">
        <v>-4206</v>
      </c>
      <c r="R59" s="71">
        <v>-6220</v>
      </c>
      <c r="S59" s="71">
        <v>-8307</v>
      </c>
      <c r="T59" s="71">
        <v>-2043</v>
      </c>
      <c r="U59" s="71">
        <v>-4182</v>
      </c>
      <c r="V59" s="71">
        <v>-6063</v>
      </c>
      <c r="W59" s="71">
        <v>-7948</v>
      </c>
      <c r="X59" s="71">
        <v>-2004</v>
      </c>
      <c r="Y59" s="71">
        <v>-3999</v>
      </c>
      <c r="Z59" s="71">
        <v>-5887</v>
      </c>
      <c r="AA59" s="71">
        <v>-8083</v>
      </c>
      <c r="AB59" s="71">
        <v>-2103</v>
      </c>
      <c r="AC59" s="71">
        <v>-4941</v>
      </c>
      <c r="AD59" s="71">
        <v>-7062</v>
      </c>
      <c r="AE59" s="71">
        <v>-9863</v>
      </c>
      <c r="AF59" s="71">
        <v>-2683</v>
      </c>
      <c r="AG59" s="71">
        <v>-5587</v>
      </c>
      <c r="AH59" s="71">
        <v>-8566</v>
      </c>
      <c r="AI59" s="71">
        <v>-11520</v>
      </c>
      <c r="AJ59" s="71">
        <v>-3686</v>
      </c>
      <c r="AL59" s="124"/>
      <c r="AO59" s="69"/>
      <c r="AP59" s="69"/>
      <c r="AQ59" s="69"/>
      <c r="AR59" s="69"/>
      <c r="AU59" s="69"/>
      <c r="AV59" s="69"/>
      <c r="AW59" s="69"/>
    </row>
    <row r="60" spans="1:49" ht="15" thickBot="1">
      <c r="A60" s="61" t="s">
        <v>16</v>
      </c>
      <c r="B60" s="66" t="s">
        <v>230</v>
      </c>
      <c r="C60" s="73">
        <v>0</v>
      </c>
      <c r="D60" s="73">
        <v>0</v>
      </c>
      <c r="E60" s="73">
        <v>0</v>
      </c>
      <c r="F60" s="73">
        <v>0</v>
      </c>
      <c r="G60" s="73">
        <v>0</v>
      </c>
      <c r="H60" s="73">
        <v>0</v>
      </c>
      <c r="I60" s="73">
        <v>0</v>
      </c>
      <c r="J60" s="73">
        <v>0</v>
      </c>
      <c r="K60" s="73">
        <v>0</v>
      </c>
      <c r="L60" s="73">
        <v>0</v>
      </c>
      <c r="M60" s="73">
        <v>-89</v>
      </c>
      <c r="N60" s="73">
        <v>-365</v>
      </c>
      <c r="O60" s="73">
        <v>-365</v>
      </c>
      <c r="P60" s="73">
        <v>0</v>
      </c>
      <c r="Q60" s="73">
        <v>0</v>
      </c>
      <c r="R60" s="73">
        <v>0</v>
      </c>
      <c r="S60" s="73">
        <v>0</v>
      </c>
      <c r="T60" s="73">
        <v>0</v>
      </c>
      <c r="U60" s="73">
        <v>0</v>
      </c>
      <c r="V60" s="73">
        <v>0</v>
      </c>
      <c r="W60" s="73">
        <v>0</v>
      </c>
      <c r="X60" s="73">
        <v>0</v>
      </c>
      <c r="Y60" s="73">
        <v>0</v>
      </c>
      <c r="Z60" s="73">
        <v>0</v>
      </c>
      <c r="AA60" s="73">
        <v>0</v>
      </c>
      <c r="AB60" s="73">
        <v>0</v>
      </c>
      <c r="AC60" s="73">
        <v>0</v>
      </c>
      <c r="AD60" s="73">
        <v>0</v>
      </c>
      <c r="AE60" s="73">
        <v>-17010</v>
      </c>
      <c r="AF60" s="73">
        <v>-4516</v>
      </c>
      <c r="AG60" s="73">
        <v>-7593</v>
      </c>
      <c r="AH60" s="73">
        <v>-10505</v>
      </c>
      <c r="AI60" s="73">
        <v>-13685</v>
      </c>
      <c r="AJ60" s="73">
        <v>-1126</v>
      </c>
      <c r="AL60" s="124"/>
      <c r="AO60" s="69"/>
      <c r="AP60" s="69"/>
      <c r="AQ60" s="69"/>
      <c r="AR60" s="69"/>
      <c r="AU60" s="69"/>
      <c r="AV60" s="69"/>
      <c r="AW60" s="69"/>
    </row>
    <row r="61" spans="1:49" ht="15" thickBot="1">
      <c r="A61" s="65" t="s">
        <v>32</v>
      </c>
      <c r="B61" s="58" t="s">
        <v>253</v>
      </c>
      <c r="C61" s="71">
        <v>-535</v>
      </c>
      <c r="D61" s="71">
        <v>-99</v>
      </c>
      <c r="E61" s="71">
        <v>-184</v>
      </c>
      <c r="F61" s="71">
        <v>-277</v>
      </c>
      <c r="G61" s="71">
        <v>-395</v>
      </c>
      <c r="H61" s="71">
        <v>-70</v>
      </c>
      <c r="I61" s="71">
        <v>-140</v>
      </c>
      <c r="J61" s="71">
        <v>-212</v>
      </c>
      <c r="K61" s="71">
        <v>-281</v>
      </c>
      <c r="L61" s="71">
        <v>-40</v>
      </c>
      <c r="M61" s="71">
        <v>-81</v>
      </c>
      <c r="N61" s="71">
        <v>-121</v>
      </c>
      <c r="O61" s="71">
        <v>-161</v>
      </c>
      <c r="P61" s="71">
        <v>-6</v>
      </c>
      <c r="Q61" s="71">
        <v>-24</v>
      </c>
      <c r="R61" s="71">
        <v>-35</v>
      </c>
      <c r="S61" s="71">
        <v>-55</v>
      </c>
      <c r="T61" s="71">
        <v>-1</v>
      </c>
      <c r="U61" s="71">
        <v>-2</v>
      </c>
      <c r="V61" s="71">
        <v>-2</v>
      </c>
      <c r="W61" s="71">
        <v>-3</v>
      </c>
      <c r="X61" s="81">
        <v>0</v>
      </c>
      <c r="Y61" s="81">
        <v>0</v>
      </c>
      <c r="Z61" s="81">
        <v>0</v>
      </c>
      <c r="AA61" s="81">
        <v>-1</v>
      </c>
      <c r="AB61" s="81">
        <v>0</v>
      </c>
      <c r="AC61" s="81">
        <v>0</v>
      </c>
      <c r="AD61" s="81">
        <v>0</v>
      </c>
      <c r="AE61" s="81">
        <v>0</v>
      </c>
      <c r="AF61" s="81">
        <v>0</v>
      </c>
      <c r="AG61" s="81">
        <v>0</v>
      </c>
      <c r="AH61" s="81">
        <v>0</v>
      </c>
      <c r="AI61" s="81">
        <v>0</v>
      </c>
      <c r="AJ61" s="81">
        <v>0</v>
      </c>
      <c r="AL61" s="124"/>
      <c r="AO61" s="69"/>
      <c r="AP61" s="69"/>
      <c r="AQ61" s="69"/>
      <c r="AR61" s="69"/>
      <c r="AU61" s="69"/>
      <c r="AV61" s="69"/>
      <c r="AW61" s="69"/>
    </row>
    <row r="62" spans="1:49" ht="15" thickBot="1">
      <c r="A62" s="62" t="s">
        <v>33</v>
      </c>
      <c r="B62" s="59" t="s">
        <v>83</v>
      </c>
      <c r="C62" s="75">
        <f>+C61+C53</f>
        <v>-771516</v>
      </c>
      <c r="D62" s="75">
        <f t="shared" ref="D62:AH62" si="63">+D61+D53</f>
        <v>-182862</v>
      </c>
      <c r="E62" s="75">
        <f t="shared" si="63"/>
        <v>-355515</v>
      </c>
      <c r="F62" s="75">
        <f t="shared" si="63"/>
        <v>-530486</v>
      </c>
      <c r="G62" s="75">
        <f t="shared" si="63"/>
        <v>-702470</v>
      </c>
      <c r="H62" s="75">
        <f t="shared" si="63"/>
        <v>-181304</v>
      </c>
      <c r="I62" s="75">
        <f t="shared" si="63"/>
        <v>-365212</v>
      </c>
      <c r="J62" s="75">
        <f t="shared" si="63"/>
        <v>-549618</v>
      </c>
      <c r="K62" s="75">
        <f t="shared" si="63"/>
        <v>-744444</v>
      </c>
      <c r="L62" s="75">
        <f t="shared" si="63"/>
        <v>-210567</v>
      </c>
      <c r="M62" s="75">
        <f t="shared" si="63"/>
        <v>-430970</v>
      </c>
      <c r="N62" s="75">
        <f t="shared" si="63"/>
        <v>-683560</v>
      </c>
      <c r="O62" s="75">
        <f t="shared" si="63"/>
        <v>-937917</v>
      </c>
      <c r="P62" s="75">
        <f t="shared" si="63"/>
        <v>-251964</v>
      </c>
      <c r="Q62" s="75">
        <f t="shared" si="63"/>
        <v>-433860</v>
      </c>
      <c r="R62" s="75">
        <f t="shared" si="63"/>
        <v>-502911</v>
      </c>
      <c r="S62" s="75">
        <f t="shared" si="63"/>
        <v>-543519</v>
      </c>
      <c r="T62" s="75">
        <f t="shared" si="63"/>
        <v>-32638</v>
      </c>
      <c r="U62" s="75">
        <f t="shared" si="63"/>
        <v>-62730</v>
      </c>
      <c r="V62" s="75">
        <f t="shared" si="63"/>
        <v>-90262</v>
      </c>
      <c r="W62" s="75">
        <f t="shared" si="63"/>
        <v>-128950</v>
      </c>
      <c r="X62" s="75">
        <f t="shared" si="63"/>
        <v>-98276</v>
      </c>
      <c r="Y62" s="75">
        <f t="shared" si="63"/>
        <v>-411318</v>
      </c>
      <c r="Z62" s="75">
        <f t="shared" si="63"/>
        <v>-970251</v>
      </c>
      <c r="AA62" s="75">
        <f t="shared" si="63"/>
        <v>-1662606</v>
      </c>
      <c r="AB62" s="75">
        <f t="shared" si="63"/>
        <v>-809309</v>
      </c>
      <c r="AC62" s="75">
        <f t="shared" si="63"/>
        <v>-1561008</v>
      </c>
      <c r="AD62" s="75">
        <f t="shared" si="63"/>
        <v>-2346394</v>
      </c>
      <c r="AE62" s="75">
        <f t="shared" si="63"/>
        <v>-3182284</v>
      </c>
      <c r="AF62" s="75">
        <f t="shared" si="63"/>
        <v>-815182</v>
      </c>
      <c r="AG62" s="75">
        <f t="shared" si="63"/>
        <v>-1638809</v>
      </c>
      <c r="AH62" s="75">
        <f t="shared" si="63"/>
        <v>-2462896</v>
      </c>
      <c r="AI62" s="75">
        <f t="shared" ref="AI62:AJ62" si="64">+AI61+AI53</f>
        <v>-3293183</v>
      </c>
      <c r="AJ62" s="75">
        <f t="shared" si="64"/>
        <v>-844598</v>
      </c>
      <c r="AL62" s="124"/>
      <c r="AO62" s="69"/>
      <c r="AP62" s="69"/>
      <c r="AQ62" s="69"/>
      <c r="AR62" s="69"/>
      <c r="AU62" s="69"/>
      <c r="AV62" s="69"/>
      <c r="AW62" s="69"/>
    </row>
    <row r="63" spans="1:49">
      <c r="A63" s="89" t="s">
        <v>311</v>
      </c>
      <c r="B63" s="89" t="s">
        <v>310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U63" s="69"/>
      <c r="AV63" s="69"/>
      <c r="AW63" s="69"/>
    </row>
    <row r="64" spans="1:49">
      <c r="A64" s="89"/>
      <c r="B64" s="8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U64" s="69"/>
      <c r="AV64" s="69"/>
      <c r="AW64" s="69"/>
    </row>
    <row r="65" spans="1:36">
      <c r="A65" s="89" t="s">
        <v>538</v>
      </c>
      <c r="B65" s="89" t="s">
        <v>539</v>
      </c>
    </row>
    <row r="66" spans="1:36" ht="36">
      <c r="A66" s="89" t="s">
        <v>525</v>
      </c>
      <c r="B66" s="89" t="s">
        <v>526</v>
      </c>
      <c r="Z66" s="177">
        <v>-1422893</v>
      </c>
      <c r="AA66" s="177">
        <v>-1324208</v>
      </c>
      <c r="AE66" s="177">
        <v>-9228</v>
      </c>
      <c r="AG66" s="177">
        <v>-201046</v>
      </c>
      <c r="AH66" s="177">
        <v>-157306</v>
      </c>
      <c r="AI66" s="177">
        <v>-112709</v>
      </c>
      <c r="AJ66" s="170"/>
    </row>
  </sheetData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107"/>
  <sheetViews>
    <sheetView zoomScale="90" zoomScaleNormal="90" workbookViewId="0">
      <pane xSplit="2" ySplit="3" topLeftCell="AQ4" activePane="bottomRight" state="frozenSplit"/>
      <selection pane="topRight" activeCell="C1" sqref="C1"/>
      <selection pane="bottomLeft" activeCell="A3" sqref="A3"/>
      <selection pane="bottomRight"/>
    </sheetView>
  </sheetViews>
  <sheetFormatPr defaultColWidth="8.75" defaultRowHeight="12" outlineLevelCol="1"/>
  <cols>
    <col min="1" max="1" width="33.58203125" style="1" customWidth="1"/>
    <col min="2" max="2" width="38.25" style="1" customWidth="1"/>
    <col min="3" max="9" width="12.25" style="1" hidden="1" customWidth="1" outlineLevel="1"/>
    <col min="10" max="10" width="10.58203125" style="1" hidden="1" customWidth="1" outlineLevel="1"/>
    <col min="11" max="11" width="12.25" style="1" hidden="1" customWidth="1" outlineLevel="1" collapsed="1"/>
    <col min="12" max="18" width="12.25" style="1" hidden="1" customWidth="1" outlineLevel="1"/>
    <col min="19" max="19" width="11.08203125" style="1" customWidth="1" collapsed="1"/>
    <col min="20" max="47" width="11.08203125" style="1" customWidth="1"/>
    <col min="48" max="48" width="12" style="1" customWidth="1"/>
    <col min="49" max="50" width="12.25" style="1" customWidth="1"/>
    <col min="51" max="51" width="12.58203125" style="1" customWidth="1"/>
    <col min="52" max="52" width="9.75" style="1" customWidth="1"/>
    <col min="53" max="53" width="9.25" style="1" customWidth="1"/>
    <col min="54" max="54" width="9" style="1" customWidth="1"/>
    <col min="55" max="55" width="9.08203125" style="1" customWidth="1"/>
    <col min="56" max="56" width="9.25" style="1" customWidth="1"/>
    <col min="57" max="60" width="9.58203125" style="1" customWidth="1"/>
    <col min="61" max="61" width="2.33203125" style="1" customWidth="1"/>
    <col min="62" max="62" width="18.75" style="1" customWidth="1"/>
    <col min="63" max="16384" width="8.75" style="1"/>
  </cols>
  <sheetData>
    <row r="1" spans="1:62" ht="15.5">
      <c r="A1" s="39" t="s">
        <v>23</v>
      </c>
      <c r="AU1" s="262"/>
      <c r="AV1" s="15"/>
      <c r="AW1" s="15"/>
      <c r="AX1" s="15"/>
      <c r="BA1" s="15"/>
    </row>
    <row r="2" spans="1:62" ht="15.5">
      <c r="A2" s="39" t="s">
        <v>366</v>
      </c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262"/>
    </row>
    <row r="3" spans="1:62" s="117" customFormat="1" ht="24.5" thickBot="1">
      <c r="A3" s="98" t="s">
        <v>390</v>
      </c>
      <c r="B3" s="98" t="s">
        <v>97</v>
      </c>
      <c r="C3" s="115" t="s">
        <v>115</v>
      </c>
      <c r="D3" s="115" t="s">
        <v>117</v>
      </c>
      <c r="E3" s="115" t="s">
        <v>123</v>
      </c>
      <c r="F3" s="115" t="s">
        <v>136</v>
      </c>
      <c r="G3" s="115" t="s">
        <v>140</v>
      </c>
      <c r="H3" s="115" t="s">
        <v>158</v>
      </c>
      <c r="I3" s="115" t="s">
        <v>161</v>
      </c>
      <c r="J3" s="115" t="s">
        <v>164</v>
      </c>
      <c r="K3" s="115" t="s">
        <v>166</v>
      </c>
      <c r="L3" s="115" t="s">
        <v>171</v>
      </c>
      <c r="M3" s="115" t="s">
        <v>174</v>
      </c>
      <c r="N3" s="115" t="s">
        <v>177</v>
      </c>
      <c r="O3" s="115" t="s">
        <v>179</v>
      </c>
      <c r="P3" s="115" t="s">
        <v>182</v>
      </c>
      <c r="Q3" s="115" t="s">
        <v>185</v>
      </c>
      <c r="R3" s="115" t="s">
        <v>190</v>
      </c>
      <c r="S3" s="115" t="s">
        <v>192</v>
      </c>
      <c r="T3" s="115" t="s">
        <v>263</v>
      </c>
      <c r="U3" s="115" t="s">
        <v>298</v>
      </c>
      <c r="V3" s="115" t="s">
        <v>303</v>
      </c>
      <c r="W3" s="115" t="s">
        <v>306</v>
      </c>
      <c r="X3" s="115" t="s">
        <v>316</v>
      </c>
      <c r="Y3" s="115" t="s">
        <v>320</v>
      </c>
      <c r="Z3" s="115" t="s">
        <v>329</v>
      </c>
      <c r="AA3" s="115" t="s">
        <v>400</v>
      </c>
      <c r="AB3" s="115" t="s">
        <v>470</v>
      </c>
      <c r="AC3" s="115" t="s">
        <v>475</v>
      </c>
      <c r="AD3" s="115" t="s">
        <v>484</v>
      </c>
      <c r="AE3" s="115" t="s">
        <v>489</v>
      </c>
      <c r="AF3" s="115" t="s">
        <v>493</v>
      </c>
      <c r="AG3" s="115" t="s">
        <v>505</v>
      </c>
      <c r="AH3" s="115" t="s">
        <v>510</v>
      </c>
      <c r="AI3" s="115" t="s">
        <v>515</v>
      </c>
      <c r="AJ3" s="115" t="s">
        <v>523</v>
      </c>
      <c r="AK3" s="115" t="s">
        <v>527</v>
      </c>
      <c r="AL3" s="115" t="s">
        <v>533</v>
      </c>
      <c r="AM3" s="115" t="s">
        <v>547</v>
      </c>
      <c r="AN3" s="115" t="s">
        <v>648</v>
      </c>
      <c r="AO3" s="115" t="s">
        <v>652</v>
      </c>
      <c r="AP3" s="115" t="s">
        <v>661</v>
      </c>
      <c r="AQ3" s="115" t="s">
        <v>666</v>
      </c>
      <c r="AR3" s="115" t="s">
        <v>672</v>
      </c>
      <c r="AS3" s="115" t="s">
        <v>680</v>
      </c>
      <c r="AT3" s="115" t="s">
        <v>685</v>
      </c>
      <c r="AU3" s="115" t="s">
        <v>690</v>
      </c>
      <c r="AV3" s="15"/>
      <c r="BC3" s="123"/>
      <c r="BD3" s="123"/>
      <c r="BE3" s="123"/>
      <c r="BF3" s="123"/>
      <c r="BG3" s="123"/>
      <c r="BH3" s="123"/>
      <c r="BI3" s="123"/>
      <c r="BJ3" s="123"/>
    </row>
    <row r="4" spans="1:62">
      <c r="A4" s="44" t="s">
        <v>24</v>
      </c>
      <c r="B4" s="51" t="s">
        <v>73</v>
      </c>
      <c r="C4" s="34">
        <v>23228</v>
      </c>
      <c r="D4" s="28">
        <v>23548</v>
      </c>
      <c r="E4" s="28">
        <v>23351</v>
      </c>
      <c r="F4" s="28">
        <v>22820</v>
      </c>
      <c r="G4" s="30">
        <v>21938</v>
      </c>
      <c r="H4" s="30">
        <v>21597</v>
      </c>
      <c r="I4" s="30">
        <v>22486</v>
      </c>
      <c r="J4" s="30">
        <v>20082</v>
      </c>
      <c r="K4" s="30">
        <v>19973</v>
      </c>
      <c r="L4" s="30">
        <v>20680</v>
      </c>
      <c r="M4" s="30">
        <v>20200</v>
      </c>
      <c r="N4" s="30">
        <v>20498</v>
      </c>
      <c r="O4" s="30">
        <v>19682</v>
      </c>
      <c r="P4" s="30">
        <v>19690</v>
      </c>
      <c r="Q4" s="30">
        <v>18680</v>
      </c>
      <c r="R4" s="30">
        <v>19661</v>
      </c>
      <c r="S4" s="30">
        <v>20547</v>
      </c>
      <c r="T4" s="30">
        <f t="shared" ref="T4:T13" si="0">+T45-S4</f>
        <v>20857</v>
      </c>
      <c r="U4" s="30">
        <f t="shared" ref="U4:V13" si="1">+U45-T45</f>
        <v>20763</v>
      </c>
      <c r="V4" s="30">
        <f t="shared" si="1"/>
        <v>18869</v>
      </c>
      <c r="W4" s="30">
        <f t="shared" ref="W4:W13" si="2">+W45</f>
        <v>22737.745640000001</v>
      </c>
      <c r="X4" s="30">
        <f t="shared" ref="X4:X13" si="3">+X45-W4</f>
        <v>22841.297939999997</v>
      </c>
      <c r="Y4" s="30">
        <f t="shared" ref="Y4:Z13" si="4">+Y45-X45</f>
        <v>23623.265910000002</v>
      </c>
      <c r="Z4" s="30">
        <f>+Z45-Y45</f>
        <v>23261.199469999992</v>
      </c>
      <c r="AA4" s="30">
        <f t="shared" ref="AA4:AA13" si="5">+AA45</f>
        <v>24333.426350000002</v>
      </c>
      <c r="AB4" s="30">
        <f t="shared" ref="AB4:AD13" si="6">+AB45-AA45</f>
        <v>23590.096019999997</v>
      </c>
      <c r="AC4" s="30">
        <f t="shared" si="6"/>
        <v>27500.660940000009</v>
      </c>
      <c r="AD4" s="30">
        <f t="shared" si="6"/>
        <v>26822.027709999995</v>
      </c>
      <c r="AE4" s="30">
        <f t="shared" ref="AE4:AE13" si="7">+AE45</f>
        <v>39152</v>
      </c>
      <c r="AF4" s="30">
        <f t="shared" ref="AF4:AH13" si="8">+AF45-AE45</f>
        <v>29427</v>
      </c>
      <c r="AG4" s="30">
        <f t="shared" si="8"/>
        <v>31340</v>
      </c>
      <c r="AH4" s="30">
        <f t="shared" si="8"/>
        <v>31557</v>
      </c>
      <c r="AI4" s="30">
        <f t="shared" ref="AI4:AI13" si="9">+AI45</f>
        <v>40489</v>
      </c>
      <c r="AJ4" s="30">
        <f t="shared" ref="AJ4:AP13" si="10">+AJ45-AI45</f>
        <v>33043</v>
      </c>
      <c r="AK4" s="30">
        <f>+AK45-AJ45</f>
        <v>32213</v>
      </c>
      <c r="AL4" s="30">
        <f t="shared" si="10"/>
        <v>31964</v>
      </c>
      <c r="AM4" s="30">
        <f>+AM45</f>
        <v>29624</v>
      </c>
      <c r="AN4" s="30">
        <f t="shared" si="10"/>
        <v>29421</v>
      </c>
      <c r="AO4" s="30">
        <f t="shared" si="10"/>
        <v>29288</v>
      </c>
      <c r="AP4" s="30">
        <f t="shared" si="10"/>
        <v>28998</v>
      </c>
      <c r="AQ4" s="30">
        <f>+AQ45</f>
        <v>27884</v>
      </c>
      <c r="AR4" s="30">
        <f t="shared" ref="AR4:AT13" si="11">+AR45-AQ45</f>
        <v>28374</v>
      </c>
      <c r="AS4" s="30">
        <f t="shared" si="11"/>
        <v>28554</v>
      </c>
      <c r="AT4" s="30">
        <f t="shared" si="11"/>
        <v>27938</v>
      </c>
      <c r="AU4" s="30">
        <f>+AU45</f>
        <v>27981</v>
      </c>
      <c r="AV4" s="15"/>
      <c r="BC4" s="15"/>
      <c r="BD4" s="15"/>
      <c r="BE4" s="15"/>
      <c r="BF4" s="15"/>
      <c r="BG4" s="15"/>
      <c r="BH4" s="15"/>
      <c r="BI4" s="15"/>
      <c r="BJ4" s="15"/>
    </row>
    <row r="5" spans="1:62" ht="36">
      <c r="A5" s="44" t="s">
        <v>34</v>
      </c>
      <c r="B5" s="52" t="s">
        <v>74</v>
      </c>
      <c r="C5" s="35">
        <v>11334</v>
      </c>
      <c r="D5" s="29">
        <v>11635</v>
      </c>
      <c r="E5" s="29">
        <v>11803</v>
      </c>
      <c r="F5" s="29">
        <v>12064</v>
      </c>
      <c r="G5" s="27">
        <v>11661</v>
      </c>
      <c r="H5" s="27">
        <v>12389</v>
      </c>
      <c r="I5" s="27">
        <v>12473</v>
      </c>
      <c r="J5" s="27">
        <v>13127</v>
      </c>
      <c r="K5" s="27">
        <v>12558</v>
      </c>
      <c r="L5" s="27">
        <v>13519</v>
      </c>
      <c r="M5" s="27">
        <v>13607</v>
      </c>
      <c r="N5" s="27">
        <v>14171</v>
      </c>
      <c r="O5" s="27">
        <v>13952</v>
      </c>
      <c r="P5" s="27">
        <v>15290</v>
      </c>
      <c r="Q5" s="27">
        <v>16304</v>
      </c>
      <c r="R5" s="27">
        <v>17649</v>
      </c>
      <c r="S5" s="27">
        <v>18594</v>
      </c>
      <c r="T5" s="27">
        <f t="shared" si="0"/>
        <v>18318</v>
      </c>
      <c r="U5" s="27">
        <f t="shared" si="1"/>
        <v>18129</v>
      </c>
      <c r="V5" s="27">
        <f t="shared" si="1"/>
        <v>18641</v>
      </c>
      <c r="W5" s="27">
        <f t="shared" si="2"/>
        <v>17343.137999999999</v>
      </c>
      <c r="X5" s="27">
        <f t="shared" si="3"/>
        <v>18589.131999999998</v>
      </c>
      <c r="Y5" s="27">
        <f t="shared" si="4"/>
        <v>18893.518000000004</v>
      </c>
      <c r="Z5" s="27">
        <f t="shared" si="4"/>
        <v>17780.372999999992</v>
      </c>
      <c r="AA5" s="27">
        <f t="shared" si="5"/>
        <v>16471.522000000001</v>
      </c>
      <c r="AB5" s="29">
        <f t="shared" si="6"/>
        <v>15838.945</v>
      </c>
      <c r="AC5" s="29">
        <f t="shared" si="6"/>
        <v>17647.632999999998</v>
      </c>
      <c r="AD5" s="29">
        <f t="shared" si="6"/>
        <v>17779.879000000008</v>
      </c>
      <c r="AE5" s="27">
        <f t="shared" si="7"/>
        <v>18480</v>
      </c>
      <c r="AF5" s="27">
        <f t="shared" si="8"/>
        <v>19244</v>
      </c>
      <c r="AG5" s="27">
        <f t="shared" si="8"/>
        <v>20111</v>
      </c>
      <c r="AH5" s="27">
        <f t="shared" si="8"/>
        <v>21081</v>
      </c>
      <c r="AI5" s="27">
        <f t="shared" si="9"/>
        <v>21326</v>
      </c>
      <c r="AJ5" s="27">
        <f t="shared" si="10"/>
        <v>23050</v>
      </c>
      <c r="AK5" s="27">
        <f t="shared" si="10"/>
        <v>23174</v>
      </c>
      <c r="AL5" s="27">
        <f t="shared" si="10"/>
        <v>23947</v>
      </c>
      <c r="AM5" s="27">
        <f t="shared" ref="AM5:AM13" si="12">+AM46</f>
        <v>22817</v>
      </c>
      <c r="AN5" s="27">
        <f t="shared" si="10"/>
        <v>24021</v>
      </c>
      <c r="AO5" s="27">
        <f t="shared" si="10"/>
        <v>23866</v>
      </c>
      <c r="AP5" s="27">
        <f t="shared" si="10"/>
        <v>24272</v>
      </c>
      <c r="AQ5" s="27">
        <f t="shared" ref="AQ5:AQ13" si="13">+AQ46</f>
        <v>23934</v>
      </c>
      <c r="AR5" s="27">
        <f t="shared" si="11"/>
        <v>25682</v>
      </c>
      <c r="AS5" s="27">
        <f t="shared" si="11"/>
        <v>25996</v>
      </c>
      <c r="AT5" s="27">
        <f t="shared" si="11"/>
        <v>26485</v>
      </c>
      <c r="AU5" s="27">
        <f t="shared" ref="AU5:AU13" si="14">+AU46</f>
        <v>25825</v>
      </c>
      <c r="AV5" s="15"/>
      <c r="BC5" s="15"/>
      <c r="BD5" s="15"/>
      <c r="BE5" s="15"/>
      <c r="BF5" s="15"/>
      <c r="BG5" s="15"/>
      <c r="BH5" s="15"/>
      <c r="BI5" s="15"/>
      <c r="BJ5" s="15"/>
    </row>
    <row r="6" spans="1:62">
      <c r="A6" s="44" t="s">
        <v>25</v>
      </c>
      <c r="B6" s="52" t="s">
        <v>75</v>
      </c>
      <c r="C6" s="35">
        <v>22959</v>
      </c>
      <c r="D6" s="29">
        <v>20793</v>
      </c>
      <c r="E6" s="29">
        <v>19806</v>
      </c>
      <c r="F6" s="29">
        <v>22851</v>
      </c>
      <c r="G6" s="27">
        <v>28398</v>
      </c>
      <c r="H6" s="27">
        <v>29372</v>
      </c>
      <c r="I6" s="27">
        <v>30169</v>
      </c>
      <c r="J6" s="27">
        <v>30426</v>
      </c>
      <c r="K6" s="27">
        <v>35420</v>
      </c>
      <c r="L6" s="27">
        <v>35718</v>
      </c>
      <c r="M6" s="27">
        <v>33543</v>
      </c>
      <c r="N6" s="27">
        <v>35768</v>
      </c>
      <c r="O6" s="27">
        <v>38715</v>
      </c>
      <c r="P6" s="27">
        <v>36221</v>
      </c>
      <c r="Q6" s="27">
        <v>37947</v>
      </c>
      <c r="R6" s="27">
        <v>40332</v>
      </c>
      <c r="S6" s="27">
        <v>41547</v>
      </c>
      <c r="T6" s="27">
        <f t="shared" si="0"/>
        <v>40044</v>
      </c>
      <c r="U6" s="27">
        <f t="shared" si="1"/>
        <v>39864</v>
      </c>
      <c r="V6" s="27">
        <f t="shared" si="1"/>
        <v>45093</v>
      </c>
      <c r="W6" s="27">
        <f t="shared" si="2"/>
        <v>40999.763980000003</v>
      </c>
      <c r="X6" s="27">
        <f t="shared" si="3"/>
        <v>42774.221959999981</v>
      </c>
      <c r="Y6" s="27">
        <f t="shared" si="4"/>
        <v>51619.176240000001</v>
      </c>
      <c r="Z6" s="27">
        <f t="shared" si="4"/>
        <v>56538.680069999973</v>
      </c>
      <c r="AA6" s="27">
        <f t="shared" si="5"/>
        <v>50317.006620000007</v>
      </c>
      <c r="AB6" s="29">
        <f t="shared" si="6"/>
        <v>44357.993379999993</v>
      </c>
      <c r="AC6" s="29">
        <f t="shared" si="6"/>
        <v>46222</v>
      </c>
      <c r="AD6" s="29">
        <f t="shared" si="6"/>
        <v>50443</v>
      </c>
      <c r="AE6" s="27">
        <f t="shared" si="7"/>
        <v>50876</v>
      </c>
      <c r="AF6" s="27">
        <f t="shared" si="8"/>
        <v>53751</v>
      </c>
      <c r="AG6" s="27">
        <f t="shared" si="8"/>
        <v>51781</v>
      </c>
      <c r="AH6" s="27">
        <f t="shared" si="8"/>
        <v>56064</v>
      </c>
      <c r="AI6" s="27">
        <f t="shared" si="9"/>
        <v>59976</v>
      </c>
      <c r="AJ6" s="27">
        <f t="shared" si="10"/>
        <v>57016</v>
      </c>
      <c r="AK6" s="27">
        <f t="shared" si="10"/>
        <v>35924</v>
      </c>
      <c r="AL6" s="27">
        <f t="shared" si="10"/>
        <v>50724</v>
      </c>
      <c r="AM6" s="27">
        <f t="shared" si="12"/>
        <v>53358</v>
      </c>
      <c r="AN6" s="27">
        <f t="shared" si="10"/>
        <v>49605</v>
      </c>
      <c r="AO6" s="27">
        <f t="shared" si="10"/>
        <v>50880</v>
      </c>
      <c r="AP6" s="27">
        <f t="shared" si="10"/>
        <v>54405</v>
      </c>
      <c r="AQ6" s="27">
        <f t="shared" si="13"/>
        <v>53704</v>
      </c>
      <c r="AR6" s="27">
        <f t="shared" si="11"/>
        <v>51439</v>
      </c>
      <c r="AS6" s="27">
        <f t="shared" si="11"/>
        <v>48280</v>
      </c>
      <c r="AT6" s="27">
        <f t="shared" si="11"/>
        <v>49432</v>
      </c>
      <c r="AU6" s="27">
        <f t="shared" si="14"/>
        <v>49787</v>
      </c>
      <c r="AV6" s="15"/>
    </row>
    <row r="7" spans="1:62">
      <c r="A7" s="44" t="s">
        <v>26</v>
      </c>
      <c r="B7" s="52" t="s">
        <v>76</v>
      </c>
      <c r="C7" s="35">
        <v>3602</v>
      </c>
      <c r="D7" s="29">
        <v>3120</v>
      </c>
      <c r="E7" s="29">
        <v>2991</v>
      </c>
      <c r="F7" s="29">
        <v>3066</v>
      </c>
      <c r="G7" s="27">
        <v>3576</v>
      </c>
      <c r="H7" s="27">
        <v>3019</v>
      </c>
      <c r="I7" s="27">
        <v>2902</v>
      </c>
      <c r="J7" s="27">
        <v>3020</v>
      </c>
      <c r="K7" s="27">
        <v>3748</v>
      </c>
      <c r="L7" s="27">
        <v>2921</v>
      </c>
      <c r="M7" s="27">
        <v>2617</v>
      </c>
      <c r="N7" s="27">
        <v>2975</v>
      </c>
      <c r="O7" s="27">
        <v>3640</v>
      </c>
      <c r="P7" s="27">
        <v>2899</v>
      </c>
      <c r="Q7" s="27">
        <v>2871</v>
      </c>
      <c r="R7" s="27">
        <v>2748</v>
      </c>
      <c r="S7" s="27">
        <v>3810</v>
      </c>
      <c r="T7" s="27">
        <f t="shared" si="0"/>
        <v>3355</v>
      </c>
      <c r="U7" s="27">
        <f t="shared" si="1"/>
        <v>3610</v>
      </c>
      <c r="V7" s="27">
        <f t="shared" si="1"/>
        <v>4397</v>
      </c>
      <c r="W7" s="27">
        <f t="shared" si="2"/>
        <v>3569.0448099999999</v>
      </c>
      <c r="X7" s="27">
        <f t="shared" si="3"/>
        <v>3168.70145</v>
      </c>
      <c r="Y7" s="27">
        <f t="shared" si="4"/>
        <v>3524.0169999999998</v>
      </c>
      <c r="Z7" s="27">
        <f t="shared" si="4"/>
        <v>3528.3346700000002</v>
      </c>
      <c r="AA7" s="27">
        <f t="shared" si="5"/>
        <v>3759.0601299999998</v>
      </c>
      <c r="AB7" s="29">
        <f t="shared" si="6"/>
        <v>3191.4981200000002</v>
      </c>
      <c r="AC7" s="29">
        <f t="shared" si="6"/>
        <v>3382.5272100000002</v>
      </c>
      <c r="AD7" s="29">
        <f t="shared" si="6"/>
        <v>3465.6883600000001</v>
      </c>
      <c r="AE7" s="27">
        <f t="shared" si="7"/>
        <v>3229</v>
      </c>
      <c r="AF7" s="27">
        <f t="shared" si="8"/>
        <v>3430</v>
      </c>
      <c r="AG7" s="27">
        <f t="shared" si="8"/>
        <v>3269</v>
      </c>
      <c r="AH7" s="27">
        <f t="shared" si="8"/>
        <v>3497</v>
      </c>
      <c r="AI7" s="27">
        <f t="shared" si="9"/>
        <v>3876</v>
      </c>
      <c r="AJ7" s="27">
        <f t="shared" si="10"/>
        <v>3186</v>
      </c>
      <c r="AK7" s="27">
        <f t="shared" si="10"/>
        <v>3401</v>
      </c>
      <c r="AL7" s="27">
        <f t="shared" si="10"/>
        <v>3862</v>
      </c>
      <c r="AM7" s="27">
        <f t="shared" si="12"/>
        <v>3809</v>
      </c>
      <c r="AN7" s="27">
        <f t="shared" si="10"/>
        <v>3404</v>
      </c>
      <c r="AO7" s="27">
        <f t="shared" si="10"/>
        <v>3612</v>
      </c>
      <c r="AP7" s="27">
        <f t="shared" si="10"/>
        <v>3568</v>
      </c>
      <c r="AQ7" s="27">
        <f t="shared" si="13"/>
        <v>3602</v>
      </c>
      <c r="AR7" s="27">
        <f t="shared" si="11"/>
        <v>3268</v>
      </c>
      <c r="AS7" s="27">
        <f t="shared" si="11"/>
        <v>3367</v>
      </c>
      <c r="AT7" s="27">
        <f t="shared" si="11"/>
        <v>3461</v>
      </c>
      <c r="AU7" s="27">
        <f t="shared" si="14"/>
        <v>3401</v>
      </c>
      <c r="AV7" s="15"/>
    </row>
    <row r="8" spans="1:62">
      <c r="A8" s="44" t="s">
        <v>27</v>
      </c>
      <c r="B8" s="52" t="s">
        <v>77</v>
      </c>
      <c r="C8" s="35">
        <v>50299</v>
      </c>
      <c r="D8" s="29">
        <v>53692</v>
      </c>
      <c r="E8" s="29">
        <v>39535</v>
      </c>
      <c r="F8" s="29">
        <v>39491</v>
      </c>
      <c r="G8" s="27">
        <v>32451</v>
      </c>
      <c r="H8" s="27">
        <v>33420</v>
      </c>
      <c r="I8" s="27">
        <v>34524</v>
      </c>
      <c r="J8" s="27">
        <v>34664</v>
      </c>
      <c r="K8" s="27">
        <v>34377</v>
      </c>
      <c r="L8" s="27">
        <v>36490</v>
      </c>
      <c r="M8" s="27">
        <v>38761</v>
      </c>
      <c r="N8" s="27">
        <v>38188</v>
      </c>
      <c r="O8" s="27">
        <v>38042</v>
      </c>
      <c r="P8" s="27">
        <v>40616</v>
      </c>
      <c r="Q8" s="27">
        <v>41998</v>
      </c>
      <c r="R8" s="27">
        <v>41423</v>
      </c>
      <c r="S8" s="27">
        <v>40386</v>
      </c>
      <c r="T8" s="27">
        <f t="shared" si="0"/>
        <v>43509</v>
      </c>
      <c r="U8" s="27">
        <f t="shared" si="1"/>
        <v>46081</v>
      </c>
      <c r="V8" s="27">
        <f t="shared" si="1"/>
        <v>47768</v>
      </c>
      <c r="W8" s="27">
        <f t="shared" si="2"/>
        <v>44275.826000000001</v>
      </c>
      <c r="X8" s="27">
        <f t="shared" si="3"/>
        <v>49785.138229999997</v>
      </c>
      <c r="Y8" s="27">
        <f t="shared" si="4"/>
        <v>56946.12264999999</v>
      </c>
      <c r="Z8" s="27">
        <f t="shared" si="4"/>
        <v>54815.535000000003</v>
      </c>
      <c r="AA8" s="27">
        <f t="shared" si="5"/>
        <v>53979.125999999997</v>
      </c>
      <c r="AB8" s="29">
        <f t="shared" si="6"/>
        <v>50279.470999999998</v>
      </c>
      <c r="AC8" s="29">
        <f t="shared" si="6"/>
        <v>57033.563999999998</v>
      </c>
      <c r="AD8" s="29">
        <f t="shared" si="6"/>
        <v>59793.580000000016</v>
      </c>
      <c r="AE8" s="27">
        <f t="shared" si="7"/>
        <v>51735</v>
      </c>
      <c r="AF8" s="27">
        <f t="shared" si="8"/>
        <v>57091</v>
      </c>
      <c r="AG8" s="27">
        <f t="shared" si="8"/>
        <v>63886</v>
      </c>
      <c r="AH8" s="27">
        <f t="shared" si="8"/>
        <v>62867</v>
      </c>
      <c r="AI8" s="27">
        <f t="shared" si="9"/>
        <v>60960</v>
      </c>
      <c r="AJ8" s="27">
        <f t="shared" si="10"/>
        <v>67519</v>
      </c>
      <c r="AK8" s="27">
        <f t="shared" si="10"/>
        <v>71265</v>
      </c>
      <c r="AL8" s="27">
        <f t="shared" si="10"/>
        <v>68757</v>
      </c>
      <c r="AM8" s="27">
        <f t="shared" si="12"/>
        <v>68902</v>
      </c>
      <c r="AN8" s="27">
        <f t="shared" si="10"/>
        <v>73720</v>
      </c>
      <c r="AO8" s="27">
        <f t="shared" si="10"/>
        <v>77115</v>
      </c>
      <c r="AP8" s="27">
        <f t="shared" si="10"/>
        <v>74242</v>
      </c>
      <c r="AQ8" s="27">
        <f t="shared" si="13"/>
        <v>75085</v>
      </c>
      <c r="AR8" s="27">
        <f t="shared" si="11"/>
        <v>79904</v>
      </c>
      <c r="AS8" s="27">
        <f t="shared" si="11"/>
        <v>82190</v>
      </c>
      <c r="AT8" s="27">
        <f t="shared" si="11"/>
        <v>79925</v>
      </c>
      <c r="AU8" s="27">
        <f t="shared" si="14"/>
        <v>79004</v>
      </c>
      <c r="AV8" s="15"/>
    </row>
    <row r="9" spans="1:62">
      <c r="A9" s="44" t="s">
        <v>28</v>
      </c>
      <c r="B9" s="52" t="s">
        <v>78</v>
      </c>
      <c r="C9" s="35">
        <v>12465</v>
      </c>
      <c r="D9" s="29">
        <v>23605</v>
      </c>
      <c r="E9" s="29">
        <v>24738</v>
      </c>
      <c r="F9" s="29">
        <v>15358</v>
      </c>
      <c r="G9" s="27">
        <v>27072</v>
      </c>
      <c r="H9" s="27">
        <v>13956</v>
      </c>
      <c r="I9" s="27">
        <v>21336</v>
      </c>
      <c r="J9" s="27">
        <v>21033</v>
      </c>
      <c r="K9" s="27">
        <v>11666</v>
      </c>
      <c r="L9" s="27">
        <v>14034</v>
      </c>
      <c r="M9" s="27">
        <v>19731</v>
      </c>
      <c r="N9" s="27">
        <v>22021</v>
      </c>
      <c r="O9" s="27">
        <v>24736</v>
      </c>
      <c r="P9" s="27">
        <v>24168</v>
      </c>
      <c r="Q9" s="27">
        <v>24620</v>
      </c>
      <c r="R9" s="27">
        <v>25075</v>
      </c>
      <c r="S9" s="27">
        <v>29978</v>
      </c>
      <c r="T9" s="27">
        <f t="shared" si="0"/>
        <v>23978</v>
      </c>
      <c r="U9" s="27">
        <f t="shared" si="1"/>
        <v>24643</v>
      </c>
      <c r="V9" s="27">
        <f t="shared" si="1"/>
        <v>24134</v>
      </c>
      <c r="W9" s="27">
        <f t="shared" si="2"/>
        <v>29715.326420000001</v>
      </c>
      <c r="X9" s="27">
        <f t="shared" si="3"/>
        <v>40096.147590000008</v>
      </c>
      <c r="Y9" s="27">
        <f t="shared" si="4"/>
        <v>39736.794669999988</v>
      </c>
      <c r="Z9" s="27">
        <f t="shared" si="4"/>
        <v>38846.208050000001</v>
      </c>
      <c r="AA9" s="27">
        <f t="shared" si="5"/>
        <v>55542.415390000002</v>
      </c>
      <c r="AB9" s="29">
        <f t="shared" si="6"/>
        <v>45309.584609999998</v>
      </c>
      <c r="AC9" s="29">
        <f t="shared" si="6"/>
        <v>35566</v>
      </c>
      <c r="AD9" s="29">
        <f t="shared" si="6"/>
        <v>33303</v>
      </c>
      <c r="AE9" s="27">
        <f t="shared" si="7"/>
        <v>38710</v>
      </c>
      <c r="AF9" s="27">
        <f t="shared" si="8"/>
        <v>44178</v>
      </c>
      <c r="AG9" s="27">
        <f t="shared" si="8"/>
        <v>35667</v>
      </c>
      <c r="AH9" s="27">
        <f t="shared" si="8"/>
        <v>38269</v>
      </c>
      <c r="AI9" s="27">
        <f t="shared" si="9"/>
        <v>41136</v>
      </c>
      <c r="AJ9" s="27">
        <f t="shared" si="10"/>
        <v>42438</v>
      </c>
      <c r="AK9" s="27">
        <f t="shared" si="10"/>
        <v>41845</v>
      </c>
      <c r="AL9" s="27">
        <f t="shared" si="10"/>
        <v>49248</v>
      </c>
      <c r="AM9" s="27">
        <f t="shared" si="12"/>
        <v>48854</v>
      </c>
      <c r="AN9" s="27">
        <f t="shared" si="10"/>
        <v>48621</v>
      </c>
      <c r="AO9" s="27">
        <f t="shared" si="10"/>
        <v>34258</v>
      </c>
      <c r="AP9" s="27">
        <f t="shared" si="10"/>
        <v>33036</v>
      </c>
      <c r="AQ9" s="27">
        <f t="shared" si="13"/>
        <v>37319</v>
      </c>
      <c r="AR9" s="27">
        <f t="shared" si="11"/>
        <v>29910</v>
      </c>
      <c r="AS9" s="27">
        <f t="shared" si="11"/>
        <v>39190</v>
      </c>
      <c r="AT9" s="27">
        <f t="shared" si="11"/>
        <v>22338</v>
      </c>
      <c r="AU9" s="27">
        <f t="shared" si="14"/>
        <v>11143</v>
      </c>
      <c r="AV9" s="15"/>
    </row>
    <row r="10" spans="1:62" ht="24">
      <c r="A10" s="44" t="s">
        <v>29</v>
      </c>
      <c r="B10" s="52" t="s">
        <v>79</v>
      </c>
      <c r="C10" s="35">
        <v>21569</v>
      </c>
      <c r="D10" s="29">
        <v>20269</v>
      </c>
      <c r="E10" s="29">
        <v>21561</v>
      </c>
      <c r="F10" s="29">
        <v>20389</v>
      </c>
      <c r="G10" s="27">
        <v>22217</v>
      </c>
      <c r="H10" s="27">
        <v>28392</v>
      </c>
      <c r="I10" s="27">
        <v>22227</v>
      </c>
      <c r="J10" s="27">
        <v>14547</v>
      </c>
      <c r="K10" s="27">
        <v>14266</v>
      </c>
      <c r="L10" s="27">
        <v>17032</v>
      </c>
      <c r="M10" s="27">
        <v>20989</v>
      </c>
      <c r="N10" s="27">
        <v>21328</v>
      </c>
      <c r="O10" s="27">
        <v>23562</v>
      </c>
      <c r="P10" s="27">
        <v>22214</v>
      </c>
      <c r="Q10" s="27">
        <v>21602</v>
      </c>
      <c r="R10" s="27">
        <v>21834</v>
      </c>
      <c r="S10" s="27">
        <v>17636</v>
      </c>
      <c r="T10" s="27">
        <f t="shared" si="0"/>
        <v>19126</v>
      </c>
      <c r="U10" s="27">
        <f t="shared" si="1"/>
        <v>18625</v>
      </c>
      <c r="V10" s="27">
        <f t="shared" si="1"/>
        <v>13228</v>
      </c>
      <c r="W10" s="27">
        <f t="shared" si="2"/>
        <v>14893.317499999999</v>
      </c>
      <c r="X10" s="27">
        <f t="shared" si="3"/>
        <v>15943.773600000002</v>
      </c>
      <c r="Y10" s="27">
        <f t="shared" si="4"/>
        <v>15362.571499999995</v>
      </c>
      <c r="Z10" s="27">
        <f t="shared" si="4"/>
        <v>14476.967400000001</v>
      </c>
      <c r="AA10" s="27">
        <f t="shared" si="5"/>
        <v>14431.624099999999</v>
      </c>
      <c r="AB10" s="29">
        <f t="shared" si="6"/>
        <v>14555.054700000002</v>
      </c>
      <c r="AC10" s="29">
        <f t="shared" si="6"/>
        <v>18615.659899999999</v>
      </c>
      <c r="AD10" s="29">
        <f t="shared" si="6"/>
        <v>18356.736500000006</v>
      </c>
      <c r="AE10" s="27">
        <f t="shared" si="7"/>
        <v>17153</v>
      </c>
      <c r="AF10" s="27">
        <f t="shared" si="8"/>
        <v>17664</v>
      </c>
      <c r="AG10" s="27">
        <f t="shared" si="8"/>
        <v>15062</v>
      </c>
      <c r="AH10" s="27">
        <f t="shared" si="8"/>
        <v>13997</v>
      </c>
      <c r="AI10" s="27">
        <f t="shared" si="9"/>
        <v>11351</v>
      </c>
      <c r="AJ10" s="27">
        <f t="shared" si="10"/>
        <v>9407</v>
      </c>
      <c r="AK10" s="27">
        <f t="shared" si="10"/>
        <v>7212</v>
      </c>
      <c r="AL10" s="27">
        <f t="shared" si="10"/>
        <v>6960</v>
      </c>
      <c r="AM10" s="27">
        <f t="shared" si="12"/>
        <v>6307</v>
      </c>
      <c r="AN10" s="27">
        <f t="shared" si="10"/>
        <v>6544</v>
      </c>
      <c r="AO10" s="27">
        <f t="shared" si="10"/>
        <v>6449</v>
      </c>
      <c r="AP10" s="27">
        <f t="shared" si="10"/>
        <v>6369</v>
      </c>
      <c r="AQ10" s="27">
        <f t="shared" si="13"/>
        <v>6867</v>
      </c>
      <c r="AR10" s="27">
        <f t="shared" si="11"/>
        <v>6969</v>
      </c>
      <c r="AS10" s="27">
        <f t="shared" si="11"/>
        <v>7247</v>
      </c>
      <c r="AT10" s="27">
        <f t="shared" si="11"/>
        <v>7168</v>
      </c>
      <c r="AU10" s="27">
        <f t="shared" si="14"/>
        <v>8159</v>
      </c>
      <c r="AV10" s="15"/>
    </row>
    <row r="11" spans="1:62">
      <c r="A11" s="44" t="s">
        <v>30</v>
      </c>
      <c r="B11" s="52" t="s">
        <v>80</v>
      </c>
      <c r="C11" s="35">
        <v>5717</v>
      </c>
      <c r="D11" s="29">
        <v>4482</v>
      </c>
      <c r="E11" s="29">
        <v>4554</v>
      </c>
      <c r="F11" s="29">
        <v>4861</v>
      </c>
      <c r="G11" s="27">
        <v>6544</v>
      </c>
      <c r="H11" s="27">
        <v>4320</v>
      </c>
      <c r="I11" s="27">
        <v>4598</v>
      </c>
      <c r="J11" s="27">
        <v>5003</v>
      </c>
      <c r="K11" s="27">
        <v>4387</v>
      </c>
      <c r="L11" s="27">
        <v>5003</v>
      </c>
      <c r="M11" s="27">
        <v>5079</v>
      </c>
      <c r="N11" s="27">
        <v>5845</v>
      </c>
      <c r="O11" s="27">
        <v>5847</v>
      </c>
      <c r="P11" s="27">
        <v>5044</v>
      </c>
      <c r="Q11" s="27">
        <v>4853</v>
      </c>
      <c r="R11" s="27">
        <v>6005</v>
      </c>
      <c r="S11" s="27">
        <v>4884</v>
      </c>
      <c r="T11" s="27">
        <f t="shared" si="0"/>
        <v>4787</v>
      </c>
      <c r="U11" s="27">
        <f t="shared" si="1"/>
        <v>4235</v>
      </c>
      <c r="V11" s="27">
        <f t="shared" si="1"/>
        <v>3854</v>
      </c>
      <c r="W11" s="27">
        <f t="shared" si="2"/>
        <v>3576.8579</v>
      </c>
      <c r="X11" s="27">
        <f t="shared" si="3"/>
        <v>3177.7955000000002</v>
      </c>
      <c r="Y11" s="27">
        <f t="shared" si="4"/>
        <v>3229.7206999999989</v>
      </c>
      <c r="Z11" s="27">
        <f t="shared" si="4"/>
        <v>3377.6343000000015</v>
      </c>
      <c r="AA11" s="27">
        <f t="shared" si="5"/>
        <v>4430.9113000000007</v>
      </c>
      <c r="AB11" s="29">
        <f t="shared" si="6"/>
        <v>5031.5155000000004</v>
      </c>
      <c r="AC11" s="29">
        <f t="shared" si="6"/>
        <v>4757.0876999999982</v>
      </c>
      <c r="AD11" s="29">
        <f t="shared" si="6"/>
        <v>4939.9289000000008</v>
      </c>
      <c r="AE11" s="27">
        <f t="shared" si="7"/>
        <v>5070</v>
      </c>
      <c r="AF11" s="27">
        <f t="shared" si="8"/>
        <v>4187</v>
      </c>
      <c r="AG11" s="27">
        <f t="shared" si="8"/>
        <v>3682</v>
      </c>
      <c r="AH11" s="27">
        <f t="shared" si="8"/>
        <v>4320</v>
      </c>
      <c r="AI11" s="27">
        <f t="shared" si="9"/>
        <v>5002</v>
      </c>
      <c r="AJ11" s="27">
        <f t="shared" si="10"/>
        <v>2697</v>
      </c>
      <c r="AK11" s="27">
        <f t="shared" si="10"/>
        <v>3839</v>
      </c>
      <c r="AL11" s="27">
        <f t="shared" si="10"/>
        <v>3846</v>
      </c>
      <c r="AM11" s="27">
        <f t="shared" si="12"/>
        <v>2808</v>
      </c>
      <c r="AN11" s="27">
        <f t="shared" si="10"/>
        <v>2617</v>
      </c>
      <c r="AO11" s="27">
        <f t="shared" si="10"/>
        <v>2845</v>
      </c>
      <c r="AP11" s="27">
        <f t="shared" si="10"/>
        <v>3103</v>
      </c>
      <c r="AQ11" s="27">
        <f t="shared" si="13"/>
        <v>3367</v>
      </c>
      <c r="AR11" s="27">
        <f t="shared" si="11"/>
        <v>3409</v>
      </c>
      <c r="AS11" s="27">
        <f t="shared" si="11"/>
        <v>3381</v>
      </c>
      <c r="AT11" s="27">
        <f t="shared" si="11"/>
        <v>3218</v>
      </c>
      <c r="AU11" s="27">
        <f t="shared" si="14"/>
        <v>4248</v>
      </c>
      <c r="AV11" s="15"/>
    </row>
    <row r="12" spans="1:62" ht="24">
      <c r="A12" s="44" t="s">
        <v>31</v>
      </c>
      <c r="B12" s="52" t="s">
        <v>81</v>
      </c>
      <c r="C12" s="35">
        <v>20823</v>
      </c>
      <c r="D12" s="29">
        <v>20611</v>
      </c>
      <c r="E12" s="29">
        <v>20616</v>
      </c>
      <c r="F12" s="29">
        <v>20383</v>
      </c>
      <c r="G12" s="27">
        <v>20487</v>
      </c>
      <c r="H12" s="27">
        <v>22878</v>
      </c>
      <c r="I12" s="27">
        <v>22245</v>
      </c>
      <c r="J12" s="27">
        <v>21345</v>
      </c>
      <c r="K12" s="27">
        <v>19587</v>
      </c>
      <c r="L12" s="27">
        <v>19777</v>
      </c>
      <c r="M12" s="27">
        <v>19934</v>
      </c>
      <c r="N12" s="27">
        <v>20429</v>
      </c>
      <c r="O12" s="27">
        <v>21030</v>
      </c>
      <c r="P12" s="27">
        <v>22877</v>
      </c>
      <c r="Q12" s="27">
        <v>24181</v>
      </c>
      <c r="R12" s="27">
        <v>24488</v>
      </c>
      <c r="S12" s="27">
        <v>24013</v>
      </c>
      <c r="T12" s="27">
        <f t="shared" si="0"/>
        <v>23604</v>
      </c>
      <c r="U12" s="27">
        <f t="shared" si="1"/>
        <v>21518</v>
      </c>
      <c r="V12" s="27">
        <f t="shared" si="1"/>
        <v>18981</v>
      </c>
      <c r="W12" s="27">
        <f t="shared" si="2"/>
        <v>18341.309799999999</v>
      </c>
      <c r="X12" s="27">
        <f t="shared" si="3"/>
        <v>19110.8403</v>
      </c>
      <c r="Y12" s="27">
        <f t="shared" si="4"/>
        <v>19188.780200000001</v>
      </c>
      <c r="Z12" s="27">
        <f t="shared" si="4"/>
        <v>19025.205599999994</v>
      </c>
      <c r="AA12" s="27">
        <f t="shared" si="5"/>
        <v>17565.199000000001</v>
      </c>
      <c r="AB12" s="27">
        <f t="shared" si="6"/>
        <v>14612.2624</v>
      </c>
      <c r="AC12" s="27">
        <f t="shared" si="6"/>
        <v>16698.353000000003</v>
      </c>
      <c r="AD12" s="27">
        <f t="shared" si="6"/>
        <v>18065.423800000004</v>
      </c>
      <c r="AE12" s="27">
        <f t="shared" si="7"/>
        <v>15189</v>
      </c>
      <c r="AF12" s="27">
        <f t="shared" si="8"/>
        <v>17419</v>
      </c>
      <c r="AG12" s="27">
        <f t="shared" si="8"/>
        <v>19526</v>
      </c>
      <c r="AH12" s="27">
        <f t="shared" si="8"/>
        <v>20556</v>
      </c>
      <c r="AI12" s="27">
        <f t="shared" si="9"/>
        <v>16433</v>
      </c>
      <c r="AJ12" s="27">
        <f t="shared" si="10"/>
        <v>13747</v>
      </c>
      <c r="AK12" s="27">
        <f t="shared" si="10"/>
        <v>12862</v>
      </c>
      <c r="AL12" s="27">
        <f t="shared" si="10"/>
        <v>12222</v>
      </c>
      <c r="AM12" s="27">
        <f t="shared" si="12"/>
        <v>14241</v>
      </c>
      <c r="AN12" s="27">
        <f t="shared" si="10"/>
        <v>15505</v>
      </c>
      <c r="AO12" s="27">
        <f t="shared" si="10"/>
        <v>16890</v>
      </c>
      <c r="AP12" s="27">
        <f t="shared" si="10"/>
        <v>17599</v>
      </c>
      <c r="AQ12" s="27">
        <f t="shared" si="13"/>
        <v>19248</v>
      </c>
      <c r="AR12" s="27">
        <f t="shared" si="11"/>
        <v>21157</v>
      </c>
      <c r="AS12" s="27">
        <f t="shared" si="11"/>
        <v>23618</v>
      </c>
      <c r="AT12" s="27">
        <f t="shared" si="11"/>
        <v>25746</v>
      </c>
      <c r="AU12" s="27">
        <f t="shared" si="14"/>
        <v>26711</v>
      </c>
      <c r="AV12" s="15"/>
    </row>
    <row r="13" spans="1:62" ht="12.5" thickBot="1">
      <c r="A13" s="44" t="s">
        <v>32</v>
      </c>
      <c r="B13" s="52" t="s">
        <v>82</v>
      </c>
      <c r="C13" s="36">
        <v>2843</v>
      </c>
      <c r="D13" s="29">
        <v>2832</v>
      </c>
      <c r="E13" s="29">
        <v>2854</v>
      </c>
      <c r="F13" s="29">
        <v>2803</v>
      </c>
      <c r="G13" s="27">
        <v>3470</v>
      </c>
      <c r="H13" s="27">
        <v>3826</v>
      </c>
      <c r="I13" s="27">
        <v>3425</v>
      </c>
      <c r="J13" s="27">
        <v>5665</v>
      </c>
      <c r="K13" s="27">
        <v>5400</v>
      </c>
      <c r="L13" s="27">
        <v>3767</v>
      </c>
      <c r="M13" s="27">
        <v>4778</v>
      </c>
      <c r="N13" s="27">
        <v>7222</v>
      </c>
      <c r="O13" s="27">
        <v>6892</v>
      </c>
      <c r="P13" s="27">
        <v>7145</v>
      </c>
      <c r="Q13" s="27">
        <v>8008</v>
      </c>
      <c r="R13" s="27">
        <v>6747</v>
      </c>
      <c r="S13" s="27">
        <v>7807</v>
      </c>
      <c r="T13" s="27">
        <f t="shared" si="0"/>
        <v>7781</v>
      </c>
      <c r="U13" s="27">
        <f t="shared" si="1"/>
        <v>7879</v>
      </c>
      <c r="V13" s="27">
        <f t="shared" si="1"/>
        <v>9372</v>
      </c>
      <c r="W13" s="27">
        <f t="shared" si="2"/>
        <v>6078.0259500000384</v>
      </c>
      <c r="X13" s="27">
        <f t="shared" si="3"/>
        <v>5808.7587500002874</v>
      </c>
      <c r="Y13" s="27">
        <f t="shared" si="4"/>
        <v>6147.8887099998701</v>
      </c>
      <c r="Z13" s="27">
        <f t="shared" si="4"/>
        <v>7138.8482200003491</v>
      </c>
      <c r="AA13" s="27">
        <f t="shared" si="5"/>
        <v>6838.6210300000257</v>
      </c>
      <c r="AB13" s="27">
        <f t="shared" si="6"/>
        <v>7268.5337899996939</v>
      </c>
      <c r="AC13" s="27">
        <f t="shared" si="6"/>
        <v>7739.4566300002298</v>
      </c>
      <c r="AD13" s="27">
        <f t="shared" si="6"/>
        <v>7577.8265299998675</v>
      </c>
      <c r="AE13" s="27">
        <f t="shared" si="7"/>
        <v>6400</v>
      </c>
      <c r="AF13" s="27">
        <f t="shared" si="8"/>
        <v>7464</v>
      </c>
      <c r="AG13" s="27">
        <f t="shared" si="8"/>
        <v>7573</v>
      </c>
      <c r="AH13" s="27">
        <f t="shared" si="8"/>
        <v>8296</v>
      </c>
      <c r="AI13" s="27">
        <f t="shared" si="9"/>
        <v>7358</v>
      </c>
      <c r="AJ13" s="27">
        <f t="shared" si="10"/>
        <v>8395</v>
      </c>
      <c r="AK13" s="27">
        <f t="shared" si="10"/>
        <v>8122</v>
      </c>
      <c r="AL13" s="27">
        <f t="shared" si="10"/>
        <v>7953</v>
      </c>
      <c r="AM13" s="27">
        <f t="shared" si="12"/>
        <v>9928</v>
      </c>
      <c r="AN13" s="27">
        <f t="shared" si="10"/>
        <v>10493</v>
      </c>
      <c r="AO13" s="27">
        <f t="shared" si="10"/>
        <v>10579</v>
      </c>
      <c r="AP13" s="27">
        <f t="shared" si="10"/>
        <v>11162</v>
      </c>
      <c r="AQ13" s="27">
        <f t="shared" si="13"/>
        <v>11412</v>
      </c>
      <c r="AR13" s="27">
        <f t="shared" si="11"/>
        <v>12037</v>
      </c>
      <c r="AS13" s="27">
        <f t="shared" si="11"/>
        <v>12848</v>
      </c>
      <c r="AT13" s="27">
        <f t="shared" si="11"/>
        <v>13366</v>
      </c>
      <c r="AU13" s="27">
        <f t="shared" si="14"/>
        <v>13216</v>
      </c>
      <c r="AV13" s="15"/>
    </row>
    <row r="14" spans="1:62" ht="12.5" thickBot="1">
      <c r="A14" s="48" t="s">
        <v>33</v>
      </c>
      <c r="B14" s="53" t="s">
        <v>83</v>
      </c>
      <c r="C14" s="2">
        <v>174839</v>
      </c>
      <c r="D14" s="2">
        <v>184587</v>
      </c>
      <c r="E14" s="2">
        <v>171809</v>
      </c>
      <c r="F14" s="2">
        <v>164086</v>
      </c>
      <c r="G14" s="2">
        <v>177814</v>
      </c>
      <c r="H14" s="2">
        <v>173169</v>
      </c>
      <c r="I14" s="2">
        <v>176385</v>
      </c>
      <c r="J14" s="2">
        <v>168912</v>
      </c>
      <c r="K14" s="2">
        <v>161382</v>
      </c>
      <c r="L14" s="2">
        <v>168941</v>
      </c>
      <c r="M14" s="2">
        <f>SUM(M4:M13)</f>
        <v>179239</v>
      </c>
      <c r="N14" s="2">
        <f>SUM(N4:N13)</f>
        <v>188445</v>
      </c>
      <c r="O14" s="2">
        <v>196098</v>
      </c>
      <c r="P14" s="2">
        <v>196164</v>
      </c>
      <c r="Q14" s="2">
        <v>201064</v>
      </c>
      <c r="R14" s="2">
        <v>205962</v>
      </c>
      <c r="S14" s="2">
        <v>209202</v>
      </c>
      <c r="T14" s="2">
        <f t="shared" ref="T14:V14" si="15">SUM(T4:T13)</f>
        <v>205359</v>
      </c>
      <c r="U14" s="2">
        <f t="shared" si="15"/>
        <v>205347</v>
      </c>
      <c r="V14" s="2">
        <f t="shared" si="15"/>
        <v>204337</v>
      </c>
      <c r="W14" s="2">
        <f t="shared" ref="W14:Y14" si="16">SUM(W4:W13)</f>
        <v>201530.35600000006</v>
      </c>
      <c r="X14" s="2">
        <f t="shared" si="16"/>
        <v>221295.80732000031</v>
      </c>
      <c r="Y14" s="2">
        <f t="shared" si="16"/>
        <v>238271.85557999983</v>
      </c>
      <c r="Z14" s="2">
        <f>SUM(Z4:Z13)</f>
        <v>238788.98578000028</v>
      </c>
      <c r="AA14" s="2">
        <f t="shared" ref="AA14:AS14" si="17">SUM(AA4:AA13)</f>
        <v>247668.91192000004</v>
      </c>
      <c r="AB14" s="2">
        <f t="shared" si="17"/>
        <v>224034.95451999971</v>
      </c>
      <c r="AC14" s="2">
        <f t="shared" si="17"/>
        <v>235162.94238000023</v>
      </c>
      <c r="AD14" s="2">
        <f t="shared" si="17"/>
        <v>240547.09079999992</v>
      </c>
      <c r="AE14" s="2">
        <f t="shared" si="17"/>
        <v>245994</v>
      </c>
      <c r="AF14" s="2">
        <f t="shared" si="17"/>
        <v>253855</v>
      </c>
      <c r="AG14" s="2">
        <f t="shared" si="17"/>
        <v>251897</v>
      </c>
      <c r="AH14" s="2">
        <f t="shared" si="17"/>
        <v>260504</v>
      </c>
      <c r="AI14" s="2">
        <f t="shared" si="17"/>
        <v>267907</v>
      </c>
      <c r="AJ14" s="2">
        <f t="shared" si="17"/>
        <v>260498</v>
      </c>
      <c r="AK14" s="2">
        <f t="shared" si="17"/>
        <v>239857</v>
      </c>
      <c r="AL14" s="2">
        <f t="shared" si="17"/>
        <v>259483</v>
      </c>
      <c r="AM14" s="2">
        <f t="shared" si="17"/>
        <v>260648</v>
      </c>
      <c r="AN14" s="2">
        <f t="shared" si="17"/>
        <v>263951</v>
      </c>
      <c r="AO14" s="2">
        <f t="shared" si="17"/>
        <v>255782</v>
      </c>
      <c r="AP14" s="2">
        <f t="shared" si="17"/>
        <v>256754</v>
      </c>
      <c r="AQ14" s="2">
        <f t="shared" si="17"/>
        <v>262422</v>
      </c>
      <c r="AR14" s="2">
        <f t="shared" si="17"/>
        <v>262149</v>
      </c>
      <c r="AS14" s="2">
        <f t="shared" si="17"/>
        <v>274671</v>
      </c>
      <c r="AT14" s="2">
        <f t="shared" ref="AT14:AU14" si="18">SUM(AT4:AT13)</f>
        <v>259077</v>
      </c>
      <c r="AU14" s="2">
        <f t="shared" si="18"/>
        <v>249475</v>
      </c>
      <c r="AV14" s="15"/>
    </row>
    <row r="16" spans="1:62" s="117" customFormat="1" ht="24.5" thickBot="1">
      <c r="A16" s="98" t="s">
        <v>391</v>
      </c>
      <c r="B16" s="98" t="s">
        <v>98</v>
      </c>
      <c r="C16" s="115" t="s">
        <v>115</v>
      </c>
      <c r="D16" s="115" t="s">
        <v>117</v>
      </c>
      <c r="E16" s="115" t="s">
        <v>123</v>
      </c>
      <c r="F16" s="115" t="s">
        <v>136</v>
      </c>
      <c r="G16" s="115" t="s">
        <v>140</v>
      </c>
      <c r="H16" s="115" t="s">
        <v>158</v>
      </c>
      <c r="I16" s="115" t="s">
        <v>161</v>
      </c>
      <c r="J16" s="115" t="s">
        <v>164</v>
      </c>
      <c r="K16" s="115" t="s">
        <v>166</v>
      </c>
      <c r="L16" s="115" t="s">
        <v>171</v>
      </c>
      <c r="M16" s="115" t="s">
        <v>174</v>
      </c>
      <c r="N16" s="115" t="s">
        <v>177</v>
      </c>
      <c r="O16" s="115" t="s">
        <v>179</v>
      </c>
      <c r="P16" s="115" t="s">
        <v>182</v>
      </c>
      <c r="Q16" s="115" t="s">
        <v>185</v>
      </c>
      <c r="R16" s="115" t="s">
        <v>190</v>
      </c>
      <c r="S16" s="115" t="s">
        <v>192</v>
      </c>
      <c r="T16" s="115" t="s">
        <v>263</v>
      </c>
      <c r="U16" s="115" t="s">
        <v>298</v>
      </c>
      <c r="V16" s="115" t="s">
        <v>303</v>
      </c>
      <c r="W16" s="115" t="s">
        <v>306</v>
      </c>
      <c r="X16" s="115" t="s">
        <v>316</v>
      </c>
      <c r="Y16" s="115" t="s">
        <v>320</v>
      </c>
      <c r="Z16" s="115" t="s">
        <v>329</v>
      </c>
      <c r="AA16" s="115" t="s">
        <v>400</v>
      </c>
      <c r="AB16" s="115" t="s">
        <v>470</v>
      </c>
      <c r="AC16" s="115" t="s">
        <v>475</v>
      </c>
      <c r="AD16" s="115" t="s">
        <v>484</v>
      </c>
      <c r="AE16" s="115" t="s">
        <v>489</v>
      </c>
      <c r="AF16" s="115" t="s">
        <v>493</v>
      </c>
      <c r="AG16" s="115" t="s">
        <v>505</v>
      </c>
      <c r="AH16" s="115" t="s">
        <v>510</v>
      </c>
      <c r="AI16" s="115" t="s">
        <v>515</v>
      </c>
      <c r="AJ16" s="115" t="s">
        <v>523</v>
      </c>
      <c r="AK16" s="115" t="s">
        <v>527</v>
      </c>
      <c r="AL16" s="115" t="s">
        <v>533</v>
      </c>
      <c r="AM16" s="115" t="s">
        <v>547</v>
      </c>
      <c r="AN16" s="115" t="s">
        <v>648</v>
      </c>
      <c r="AO16" s="115" t="s">
        <v>652</v>
      </c>
      <c r="AP16" s="115" t="s">
        <v>661</v>
      </c>
      <c r="AQ16" s="115" t="s">
        <v>666</v>
      </c>
      <c r="AR16" s="115" t="s">
        <v>672</v>
      </c>
      <c r="AS16" s="115" t="s">
        <v>680</v>
      </c>
      <c r="AT16" s="115" t="s">
        <v>685</v>
      </c>
      <c r="AU16" s="115" t="s">
        <v>690</v>
      </c>
      <c r="AV16" s="15"/>
    </row>
    <row r="17" spans="1:48">
      <c r="A17" s="44" t="s">
        <v>24</v>
      </c>
      <c r="B17" s="51" t="s">
        <v>73</v>
      </c>
      <c r="C17" s="30">
        <v>-296</v>
      </c>
      <c r="D17" s="30">
        <v>-355</v>
      </c>
      <c r="E17" s="30">
        <v>-354</v>
      </c>
      <c r="F17" s="30">
        <v>-452</v>
      </c>
      <c r="G17" s="30">
        <v>-253</v>
      </c>
      <c r="H17" s="30">
        <v>-341</v>
      </c>
      <c r="I17" s="30">
        <v>-328</v>
      </c>
      <c r="J17" s="30">
        <v>-400</v>
      </c>
      <c r="K17" s="30">
        <v>-269</v>
      </c>
      <c r="L17" s="30">
        <v>-365</v>
      </c>
      <c r="M17" s="30">
        <v>-367</v>
      </c>
      <c r="N17" s="30">
        <v>-499</v>
      </c>
      <c r="O17" s="30">
        <v>-328</v>
      </c>
      <c r="P17" s="30">
        <v>-405</v>
      </c>
      <c r="Q17" s="30">
        <v>-437</v>
      </c>
      <c r="R17" s="30">
        <v>-493</v>
      </c>
      <c r="S17" s="30">
        <v>-389</v>
      </c>
      <c r="T17" s="30">
        <f>+T58-S17</f>
        <v>-481</v>
      </c>
      <c r="U17" s="30">
        <f t="shared" ref="U17:V19" si="19">+U58-T58</f>
        <v>-455</v>
      </c>
      <c r="V17" s="30">
        <f t="shared" si="19"/>
        <v>-597</v>
      </c>
      <c r="W17" s="30">
        <f>+W58</f>
        <v>-4022.0153999999998</v>
      </c>
      <c r="X17" s="30">
        <f>+X58-W17</f>
        <v>-4215.7142000000003</v>
      </c>
      <c r="Y17" s="30">
        <f t="shared" ref="Y17:Z19" si="20">+Y58-X58</f>
        <v>-4423.3683999999994</v>
      </c>
      <c r="Z17" s="30">
        <f t="shared" si="20"/>
        <v>-5285.1950000000015</v>
      </c>
      <c r="AA17" s="30">
        <f t="shared" ref="AA17:AA26" si="21">+AA58</f>
        <v>-5363.3477999999996</v>
      </c>
      <c r="AB17" s="30">
        <f t="shared" ref="AB17:AD26" si="22">+AB58-AA58</f>
        <v>-4711.4181000000008</v>
      </c>
      <c r="AC17" s="30">
        <f t="shared" si="22"/>
        <v>-5310.1148899999989</v>
      </c>
      <c r="AD17" s="30">
        <f t="shared" si="22"/>
        <v>-4637.0984000000026</v>
      </c>
      <c r="AE17" s="30">
        <f t="shared" ref="AE17:AE26" si="23">+AE58</f>
        <v>1628</v>
      </c>
      <c r="AF17" s="30">
        <f t="shared" ref="AF17:AH26" si="24">+AF58-AE58</f>
        <v>-2598</v>
      </c>
      <c r="AG17" s="30">
        <f t="shared" si="24"/>
        <v>-1716</v>
      </c>
      <c r="AH17" s="30">
        <f t="shared" si="24"/>
        <v>-3343</v>
      </c>
      <c r="AI17" s="30">
        <f t="shared" ref="AI17:AI26" si="25">+AI58</f>
        <v>-2759</v>
      </c>
      <c r="AJ17" s="30">
        <f t="shared" ref="AJ17:AL26" si="26">+AJ58-AI58</f>
        <v>-5198</v>
      </c>
      <c r="AK17" s="30">
        <f t="shared" si="26"/>
        <v>-6511</v>
      </c>
      <c r="AL17" s="30">
        <f t="shared" si="26"/>
        <v>-8405</v>
      </c>
      <c r="AM17" s="30">
        <f>+AM58</f>
        <v>-10321</v>
      </c>
      <c r="AN17" s="30">
        <f t="shared" ref="AN17:AP26" si="27">+AN58-AM58</f>
        <v>-11066</v>
      </c>
      <c r="AO17" s="30">
        <f t="shared" si="27"/>
        <v>-10913</v>
      </c>
      <c r="AP17" s="30">
        <f t="shared" si="27"/>
        <v>-12037</v>
      </c>
      <c r="AQ17" s="30">
        <f>+AQ58</f>
        <v>-10461</v>
      </c>
      <c r="AR17" s="30">
        <f t="shared" ref="AR17:AT26" si="28">+AR58-AQ58</f>
        <v>-11663</v>
      </c>
      <c r="AS17" s="30">
        <f t="shared" si="28"/>
        <v>-10689</v>
      </c>
      <c r="AT17" s="30">
        <f t="shared" si="28"/>
        <v>-12852</v>
      </c>
      <c r="AU17" s="30">
        <f>+AU58</f>
        <v>-12481</v>
      </c>
      <c r="AV17" s="15"/>
    </row>
    <row r="18" spans="1:48" ht="36">
      <c r="A18" s="44" t="s">
        <v>34</v>
      </c>
      <c r="B18" s="52" t="s">
        <v>74</v>
      </c>
      <c r="C18" s="27">
        <v>-458</v>
      </c>
      <c r="D18" s="27">
        <v>-284</v>
      </c>
      <c r="E18" s="27">
        <v>-403</v>
      </c>
      <c r="F18" s="27">
        <v>-360</v>
      </c>
      <c r="G18" s="27">
        <v>-431</v>
      </c>
      <c r="H18" s="27">
        <v>-486</v>
      </c>
      <c r="I18" s="27">
        <v>-525</v>
      </c>
      <c r="J18" s="27">
        <v>-509</v>
      </c>
      <c r="K18" s="27">
        <v>-495</v>
      </c>
      <c r="L18" s="27">
        <v>-557</v>
      </c>
      <c r="M18" s="27">
        <v>-562</v>
      </c>
      <c r="N18" s="27">
        <v>-710</v>
      </c>
      <c r="O18" s="27">
        <v>-680</v>
      </c>
      <c r="P18" s="27">
        <v>-918</v>
      </c>
      <c r="Q18" s="27">
        <v>-1048</v>
      </c>
      <c r="R18" s="27">
        <v>-1394</v>
      </c>
      <c r="S18" s="27">
        <v>-1189</v>
      </c>
      <c r="T18" s="27">
        <f>+T59-S18</f>
        <v>-1518</v>
      </c>
      <c r="U18" s="27">
        <f t="shared" si="19"/>
        <v>-1376</v>
      </c>
      <c r="V18" s="27">
        <f t="shared" si="19"/>
        <v>-1324</v>
      </c>
      <c r="W18" s="27">
        <f>+W59</f>
        <v>-929.69500000000005</v>
      </c>
      <c r="X18" s="27">
        <f>+X59-W18</f>
        <v>-827.36299999999994</v>
      </c>
      <c r="Y18" s="27">
        <f t="shared" si="20"/>
        <v>-859.36700000000019</v>
      </c>
      <c r="Z18" s="27">
        <f t="shared" si="20"/>
        <v>-920.82600000000002</v>
      </c>
      <c r="AA18" s="29">
        <f t="shared" si="21"/>
        <v>-1045.55</v>
      </c>
      <c r="AB18" s="29">
        <f t="shared" si="22"/>
        <v>-1188.7329999999999</v>
      </c>
      <c r="AC18" s="29">
        <f t="shared" si="22"/>
        <v>-1167.3420000000001</v>
      </c>
      <c r="AD18" s="29">
        <f t="shared" si="22"/>
        <v>-1208.3149999999996</v>
      </c>
      <c r="AE18" s="29">
        <f t="shared" si="23"/>
        <v>-1148</v>
      </c>
      <c r="AF18" s="29">
        <f t="shared" si="24"/>
        <v>-1118</v>
      </c>
      <c r="AG18" s="29">
        <f t="shared" si="24"/>
        <v>-1169</v>
      </c>
      <c r="AH18" s="29">
        <f t="shared" si="24"/>
        <v>-1236</v>
      </c>
      <c r="AI18" s="29">
        <f t="shared" si="25"/>
        <v>-1229</v>
      </c>
      <c r="AJ18" s="29">
        <f t="shared" si="26"/>
        <v>-1318</v>
      </c>
      <c r="AK18" s="29">
        <f t="shared" si="26"/>
        <v>-1653</v>
      </c>
      <c r="AL18" s="29">
        <f t="shared" si="26"/>
        <v>-1280</v>
      </c>
      <c r="AM18" s="29">
        <f t="shared" ref="AM18:AM26" si="29">+AM59</f>
        <v>-1137</v>
      </c>
      <c r="AN18" s="29">
        <f t="shared" si="27"/>
        <v>-1348</v>
      </c>
      <c r="AO18" s="29">
        <f t="shared" si="27"/>
        <v>-1229</v>
      </c>
      <c r="AP18" s="29">
        <f t="shared" si="27"/>
        <v>-1216</v>
      </c>
      <c r="AQ18" s="29">
        <f t="shared" ref="AQ18:AQ26" si="30">+AQ59</f>
        <v>-1101</v>
      </c>
      <c r="AR18" s="29">
        <f t="shared" si="28"/>
        <v>-1192</v>
      </c>
      <c r="AS18" s="29">
        <f t="shared" si="28"/>
        <v>-1048</v>
      </c>
      <c r="AT18" s="29">
        <f t="shared" si="28"/>
        <v>-1207</v>
      </c>
      <c r="AU18" s="29">
        <f t="shared" ref="AU18:AU26" si="31">+AU59</f>
        <v>-1146</v>
      </c>
      <c r="AV18" s="15"/>
    </row>
    <row r="19" spans="1:48">
      <c r="A19" s="44" t="s">
        <v>25</v>
      </c>
      <c r="B19" s="52" t="s">
        <v>75</v>
      </c>
      <c r="C19" s="27">
        <v>-3581</v>
      </c>
      <c r="D19" s="27">
        <v>-3851</v>
      </c>
      <c r="E19" s="27">
        <v>-3485</v>
      </c>
      <c r="F19" s="27">
        <v>-3619</v>
      </c>
      <c r="G19" s="27">
        <v>-3165</v>
      </c>
      <c r="H19" s="27">
        <v>-5927</v>
      </c>
      <c r="I19" s="27">
        <v>-3982</v>
      </c>
      <c r="J19" s="27">
        <v>-5411</v>
      </c>
      <c r="K19" s="27">
        <v>-4394</v>
      </c>
      <c r="L19" s="27">
        <v>-6218</v>
      </c>
      <c r="M19" s="27">
        <v>-4228</v>
      </c>
      <c r="N19" s="27">
        <v>-4488</v>
      </c>
      <c r="O19" s="27">
        <v>-4081</v>
      </c>
      <c r="P19" s="27">
        <v>-4606</v>
      </c>
      <c r="Q19" s="27">
        <v>-5165</v>
      </c>
      <c r="R19" s="27">
        <v>-7084</v>
      </c>
      <c r="S19" s="27">
        <v>-6925</v>
      </c>
      <c r="T19" s="27">
        <f>+T60-S19</f>
        <v>-7441</v>
      </c>
      <c r="U19" s="27">
        <f t="shared" si="19"/>
        <v>-8096</v>
      </c>
      <c r="V19" s="27">
        <f t="shared" si="19"/>
        <v>-8392</v>
      </c>
      <c r="W19" s="27">
        <f>+W60</f>
        <v>-4736.3598200000015</v>
      </c>
      <c r="X19" s="27">
        <f>+X60-W19</f>
        <v>-6196.7275299999874</v>
      </c>
      <c r="Y19" s="27">
        <f t="shared" si="20"/>
        <v>-10119.727750000015</v>
      </c>
      <c r="Z19" s="27">
        <f t="shared" si="20"/>
        <v>-9929.9791899999946</v>
      </c>
      <c r="AA19" s="29">
        <f t="shared" si="21"/>
        <v>-9113.2400699999998</v>
      </c>
      <c r="AB19" s="29">
        <f t="shared" si="22"/>
        <v>-8499.1916199999978</v>
      </c>
      <c r="AC19" s="29">
        <f t="shared" si="22"/>
        <v>-7785.0472300000038</v>
      </c>
      <c r="AD19" s="29">
        <f t="shared" si="22"/>
        <v>-7976.2817799999975</v>
      </c>
      <c r="AE19" s="29">
        <f t="shared" si="23"/>
        <v>-7309</v>
      </c>
      <c r="AF19" s="29">
        <f t="shared" si="24"/>
        <v>-6650</v>
      </c>
      <c r="AG19" s="29">
        <f t="shared" si="24"/>
        <v>-7914</v>
      </c>
      <c r="AH19" s="29">
        <f t="shared" si="24"/>
        <v>-6292</v>
      </c>
      <c r="AI19" s="29">
        <f t="shared" si="25"/>
        <v>-6608</v>
      </c>
      <c r="AJ19" s="29">
        <f t="shared" si="26"/>
        <v>-6561</v>
      </c>
      <c r="AK19" s="29">
        <f t="shared" si="26"/>
        <v>-7256</v>
      </c>
      <c r="AL19" s="29">
        <f t="shared" si="26"/>
        <v>-5606</v>
      </c>
      <c r="AM19" s="29">
        <f t="shared" si="29"/>
        <v>-6461</v>
      </c>
      <c r="AN19" s="29">
        <f t="shared" si="27"/>
        <v>-5539</v>
      </c>
      <c r="AO19" s="29">
        <f t="shared" si="27"/>
        <v>-5886</v>
      </c>
      <c r="AP19" s="29">
        <f t="shared" si="27"/>
        <v>-5401</v>
      </c>
      <c r="AQ19" s="29">
        <f t="shared" si="30"/>
        <v>-7510</v>
      </c>
      <c r="AR19" s="29">
        <f t="shared" si="28"/>
        <v>-7255</v>
      </c>
      <c r="AS19" s="29">
        <f t="shared" si="28"/>
        <v>-11721</v>
      </c>
      <c r="AT19" s="29">
        <f t="shared" si="28"/>
        <v>-9088</v>
      </c>
      <c r="AU19" s="29">
        <f t="shared" si="31"/>
        <v>-8945</v>
      </c>
      <c r="AV19" s="15"/>
    </row>
    <row r="20" spans="1:48">
      <c r="A20" s="44"/>
      <c r="B20" s="52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9">
        <f t="shared" si="21"/>
        <v>0</v>
      </c>
      <c r="AB20" s="29">
        <f t="shared" si="22"/>
        <v>0</v>
      </c>
      <c r="AC20" s="29">
        <f t="shared" si="22"/>
        <v>0</v>
      </c>
      <c r="AD20" s="29">
        <f t="shared" si="22"/>
        <v>0</v>
      </c>
      <c r="AE20" s="29">
        <f t="shared" si="23"/>
        <v>0</v>
      </c>
      <c r="AF20" s="29">
        <f t="shared" si="24"/>
        <v>0</v>
      </c>
      <c r="AG20" s="29">
        <f t="shared" si="24"/>
        <v>0</v>
      </c>
      <c r="AH20" s="29">
        <f t="shared" si="24"/>
        <v>0</v>
      </c>
      <c r="AI20" s="29">
        <f t="shared" si="25"/>
        <v>0</v>
      </c>
      <c r="AJ20" s="29">
        <f t="shared" si="26"/>
        <v>0</v>
      </c>
      <c r="AK20" s="29">
        <f t="shared" si="26"/>
        <v>0</v>
      </c>
      <c r="AL20" s="29">
        <f t="shared" si="26"/>
        <v>0</v>
      </c>
      <c r="AM20" s="29">
        <f t="shared" si="29"/>
        <v>0</v>
      </c>
      <c r="AN20" s="29">
        <f t="shared" si="27"/>
        <v>0</v>
      </c>
      <c r="AO20" s="29">
        <f t="shared" si="27"/>
        <v>0</v>
      </c>
      <c r="AP20" s="29">
        <f t="shared" si="27"/>
        <v>0</v>
      </c>
      <c r="AQ20" s="29">
        <f t="shared" si="30"/>
        <v>0</v>
      </c>
      <c r="AR20" s="29">
        <f t="shared" si="28"/>
        <v>0</v>
      </c>
      <c r="AS20" s="29">
        <f t="shared" si="28"/>
        <v>0</v>
      </c>
      <c r="AT20" s="29">
        <f t="shared" si="28"/>
        <v>0</v>
      </c>
      <c r="AU20" s="29">
        <f t="shared" si="31"/>
        <v>0</v>
      </c>
    </row>
    <row r="21" spans="1:48">
      <c r="A21" s="44" t="s">
        <v>27</v>
      </c>
      <c r="B21" s="52" t="s">
        <v>77</v>
      </c>
      <c r="C21" s="27">
        <v>-12451</v>
      </c>
      <c r="D21" s="27">
        <v>-14313</v>
      </c>
      <c r="E21" s="27">
        <v>-13849</v>
      </c>
      <c r="F21" s="27">
        <v>-14022</v>
      </c>
      <c r="G21" s="27">
        <v>-13881</v>
      </c>
      <c r="H21" s="27">
        <v>-14844</v>
      </c>
      <c r="I21" s="27">
        <v>-15795</v>
      </c>
      <c r="J21" s="27">
        <v>-15830</v>
      </c>
      <c r="K21" s="27">
        <v>-15775</v>
      </c>
      <c r="L21" s="27">
        <v>-17191</v>
      </c>
      <c r="M21" s="27">
        <v>-18355</v>
      </c>
      <c r="N21" s="27">
        <v>-17865</v>
      </c>
      <c r="O21" s="27">
        <v>-17380</v>
      </c>
      <c r="P21" s="27">
        <v>-19718</v>
      </c>
      <c r="Q21" s="27">
        <v>-20127</v>
      </c>
      <c r="R21" s="27">
        <v>-20370</v>
      </c>
      <c r="S21" s="27">
        <v>-20515</v>
      </c>
      <c r="T21" s="27">
        <f>+T62-S21</f>
        <v>-23083</v>
      </c>
      <c r="U21" s="27">
        <f>+U62-T62</f>
        <v>-23375</v>
      </c>
      <c r="V21" s="27">
        <f>+V62-U62</f>
        <v>-22324</v>
      </c>
      <c r="W21" s="27">
        <f>+W62</f>
        <v>-20241.899000000001</v>
      </c>
      <c r="X21" s="27">
        <f>+X62-W21</f>
        <v>-24625.58929</v>
      </c>
      <c r="Y21" s="27">
        <f>+Y62-X62</f>
        <v>-32789.810680000002</v>
      </c>
      <c r="Z21" s="27">
        <f>+Z62-Y62</f>
        <v>-29372.371999999988</v>
      </c>
      <c r="AA21" s="29">
        <f t="shared" si="21"/>
        <v>-26019.298999999999</v>
      </c>
      <c r="AB21" s="29">
        <f t="shared" si="22"/>
        <v>-18784.271000000001</v>
      </c>
      <c r="AC21" s="29">
        <f t="shared" si="22"/>
        <v>-27150.455999999998</v>
      </c>
      <c r="AD21" s="29">
        <f t="shared" si="22"/>
        <v>-21559.625</v>
      </c>
      <c r="AE21" s="29">
        <f t="shared" si="23"/>
        <v>-21459</v>
      </c>
      <c r="AF21" s="29">
        <f t="shared" si="24"/>
        <v>-18663</v>
      </c>
      <c r="AG21" s="29">
        <f t="shared" si="24"/>
        <v>-25854</v>
      </c>
      <c r="AH21" s="29">
        <f t="shared" si="24"/>
        <v>-20415</v>
      </c>
      <c r="AI21" s="29">
        <f t="shared" si="25"/>
        <v>-23971</v>
      </c>
      <c r="AJ21" s="29">
        <f t="shared" si="26"/>
        <v>-24861</v>
      </c>
      <c r="AK21" s="29">
        <f t="shared" si="26"/>
        <v>-29566</v>
      </c>
      <c r="AL21" s="29">
        <f t="shared" si="26"/>
        <v>-26854</v>
      </c>
      <c r="AM21" s="29">
        <f t="shared" si="29"/>
        <v>-26297</v>
      </c>
      <c r="AN21" s="29">
        <f t="shared" si="27"/>
        <v>-26791</v>
      </c>
      <c r="AO21" s="29">
        <f t="shared" si="27"/>
        <v>-29494</v>
      </c>
      <c r="AP21" s="29">
        <f t="shared" si="27"/>
        <v>-28728</v>
      </c>
      <c r="AQ21" s="29">
        <f t="shared" si="30"/>
        <v>-26390</v>
      </c>
      <c r="AR21" s="29">
        <f t="shared" si="28"/>
        <v>-30358</v>
      </c>
      <c r="AS21" s="29">
        <f t="shared" si="28"/>
        <v>-33040</v>
      </c>
      <c r="AT21" s="29">
        <f t="shared" si="28"/>
        <v>-28027</v>
      </c>
      <c r="AU21" s="29">
        <f t="shared" si="31"/>
        <v>-23341</v>
      </c>
      <c r="AV21" s="15"/>
    </row>
    <row r="22" spans="1:48">
      <c r="A22" s="44" t="s">
        <v>28</v>
      </c>
      <c r="B22" s="52" t="s">
        <v>78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>
        <v>0</v>
      </c>
      <c r="R22" s="27"/>
      <c r="S22" s="27"/>
      <c r="T22" s="27"/>
      <c r="U22" s="27"/>
      <c r="V22" s="27"/>
      <c r="W22" s="27">
        <f>+W63</f>
        <v>-3016.761</v>
      </c>
      <c r="X22" s="27">
        <f>+X63-W22</f>
        <v>-4056.8539999999998</v>
      </c>
      <c r="Y22" s="27">
        <f>+Y63-X63</f>
        <v>-3642.7209999999995</v>
      </c>
      <c r="Z22" s="27">
        <f>+Z63-Y63</f>
        <v>667.92999999999847</v>
      </c>
      <c r="AA22" s="29">
        <f t="shared" si="21"/>
        <v>-3786.1570000000002</v>
      </c>
      <c r="AB22" s="29">
        <f t="shared" si="22"/>
        <v>-3787.3920000000007</v>
      </c>
      <c r="AC22" s="29">
        <f t="shared" si="22"/>
        <v>-5293.0049999999992</v>
      </c>
      <c r="AD22" s="29">
        <f t="shared" si="22"/>
        <v>-3573.8689999999988</v>
      </c>
      <c r="AE22" s="29">
        <f t="shared" si="23"/>
        <v>-4936</v>
      </c>
      <c r="AF22" s="29">
        <f t="shared" si="24"/>
        <v>-4706</v>
      </c>
      <c r="AG22" s="29">
        <f t="shared" si="24"/>
        <v>-2879</v>
      </c>
      <c r="AH22" s="29">
        <f t="shared" si="24"/>
        <v>-2515</v>
      </c>
      <c r="AI22" s="29">
        <f t="shared" si="25"/>
        <v>-2464</v>
      </c>
      <c r="AJ22" s="29">
        <f t="shared" si="26"/>
        <v>-3969</v>
      </c>
      <c r="AK22" s="29">
        <f t="shared" si="26"/>
        <v>-2563</v>
      </c>
      <c r="AL22" s="29">
        <f t="shared" si="26"/>
        <v>-2550</v>
      </c>
      <c r="AM22" s="29">
        <f t="shared" si="29"/>
        <v>-2190</v>
      </c>
      <c r="AN22" s="29">
        <f t="shared" si="27"/>
        <v>-3443</v>
      </c>
      <c r="AO22" s="29">
        <f t="shared" si="27"/>
        <v>-2063</v>
      </c>
      <c r="AP22" s="29">
        <f t="shared" si="27"/>
        <v>-1822</v>
      </c>
      <c r="AQ22" s="29">
        <f t="shared" si="30"/>
        <v>-1762</v>
      </c>
      <c r="AR22" s="29">
        <f t="shared" si="28"/>
        <v>-3297</v>
      </c>
      <c r="AS22" s="29">
        <f t="shared" si="28"/>
        <v>-1634</v>
      </c>
      <c r="AT22" s="29">
        <f t="shared" si="28"/>
        <v>-1587</v>
      </c>
      <c r="AU22" s="29">
        <f t="shared" si="31"/>
        <v>-2509</v>
      </c>
      <c r="AV22" s="15"/>
    </row>
    <row r="23" spans="1:48">
      <c r="A23" s="44"/>
      <c r="B23" s="5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9">
        <f t="shared" si="21"/>
        <v>0</v>
      </c>
      <c r="AB23" s="29">
        <f t="shared" si="22"/>
        <v>0</v>
      </c>
      <c r="AC23" s="29">
        <f t="shared" si="22"/>
        <v>0</v>
      </c>
      <c r="AD23" s="29">
        <f t="shared" si="22"/>
        <v>0</v>
      </c>
      <c r="AE23" s="29">
        <f t="shared" si="23"/>
        <v>0</v>
      </c>
      <c r="AF23" s="29">
        <f t="shared" si="24"/>
        <v>0</v>
      </c>
      <c r="AG23" s="29">
        <f t="shared" si="24"/>
        <v>0</v>
      </c>
      <c r="AH23" s="29">
        <f t="shared" si="24"/>
        <v>0</v>
      </c>
      <c r="AI23" s="29">
        <f t="shared" si="25"/>
        <v>0</v>
      </c>
      <c r="AJ23" s="29">
        <f t="shared" si="26"/>
        <v>0</v>
      </c>
      <c r="AK23" s="29">
        <f t="shared" si="26"/>
        <v>0</v>
      </c>
      <c r="AL23" s="29">
        <f t="shared" si="26"/>
        <v>0</v>
      </c>
      <c r="AM23" s="29">
        <f t="shared" si="29"/>
        <v>0</v>
      </c>
      <c r="AN23" s="29">
        <f t="shared" si="27"/>
        <v>0</v>
      </c>
      <c r="AO23" s="29">
        <f t="shared" si="27"/>
        <v>0</v>
      </c>
      <c r="AP23" s="29">
        <f t="shared" si="27"/>
        <v>0</v>
      </c>
      <c r="AQ23" s="29">
        <f t="shared" si="30"/>
        <v>0</v>
      </c>
      <c r="AR23" s="29">
        <f t="shared" si="28"/>
        <v>0</v>
      </c>
      <c r="AS23" s="29">
        <f t="shared" si="28"/>
        <v>0</v>
      </c>
      <c r="AT23" s="29">
        <f t="shared" si="28"/>
        <v>0</v>
      </c>
      <c r="AU23" s="29">
        <f t="shared" si="31"/>
        <v>0</v>
      </c>
    </row>
    <row r="24" spans="1:48">
      <c r="A24" s="44" t="s">
        <v>30</v>
      </c>
      <c r="B24" s="52" t="s">
        <v>80</v>
      </c>
      <c r="C24" s="27">
        <v>-952</v>
      </c>
      <c r="D24" s="27">
        <v>-776</v>
      </c>
      <c r="E24" s="27">
        <v>-891</v>
      </c>
      <c r="F24" s="27">
        <v>-747</v>
      </c>
      <c r="G24" s="27">
        <v>-788</v>
      </c>
      <c r="H24" s="27">
        <v>-762</v>
      </c>
      <c r="I24" s="27">
        <v>-850</v>
      </c>
      <c r="J24" s="27">
        <v>-986</v>
      </c>
      <c r="K24" s="27">
        <v>-814</v>
      </c>
      <c r="L24" s="27">
        <v>-855</v>
      </c>
      <c r="M24" s="27">
        <v>-840</v>
      </c>
      <c r="N24" s="27">
        <v>-1088</v>
      </c>
      <c r="O24" s="27">
        <v>-1054</v>
      </c>
      <c r="P24" s="27">
        <v>-872</v>
      </c>
      <c r="Q24" s="27">
        <v>-790</v>
      </c>
      <c r="R24" s="27">
        <v>-796</v>
      </c>
      <c r="S24" s="27">
        <v>-905</v>
      </c>
      <c r="T24" s="27">
        <f>+T65-S24</f>
        <v>-809</v>
      </c>
      <c r="U24" s="27">
        <f t="shared" ref="U24:V26" si="32">+U65-T65</f>
        <v>-746</v>
      </c>
      <c r="V24" s="27">
        <f t="shared" si="32"/>
        <v>-651</v>
      </c>
      <c r="W24" s="27">
        <f>+W65</f>
        <v>-627.2106</v>
      </c>
      <c r="X24" s="27">
        <f>+X65-W24</f>
        <v>-548.74760000000026</v>
      </c>
      <c r="Y24" s="27">
        <f t="shared" ref="Y24:Z26" si="33">+Y65-X65</f>
        <v>-537.48609999999985</v>
      </c>
      <c r="Z24" s="27">
        <f t="shared" si="33"/>
        <v>-548.13339999999971</v>
      </c>
      <c r="AA24" s="29">
        <f t="shared" si="21"/>
        <v>-794.27049999999997</v>
      </c>
      <c r="AB24" s="29">
        <f t="shared" si="22"/>
        <v>-777.1617</v>
      </c>
      <c r="AC24" s="29">
        <f t="shared" si="22"/>
        <v>-884.05520000000047</v>
      </c>
      <c r="AD24" s="29">
        <f t="shared" si="22"/>
        <v>-865.74787999999944</v>
      </c>
      <c r="AE24" s="29">
        <f t="shared" si="23"/>
        <v>-875</v>
      </c>
      <c r="AF24" s="29">
        <f t="shared" si="24"/>
        <v>-807</v>
      </c>
      <c r="AG24" s="29">
        <f t="shared" si="24"/>
        <v>-674</v>
      </c>
      <c r="AH24" s="29">
        <f t="shared" si="24"/>
        <v>-731</v>
      </c>
      <c r="AI24" s="29">
        <f t="shared" si="25"/>
        <v>-863</v>
      </c>
      <c r="AJ24" s="29">
        <f t="shared" si="26"/>
        <v>-596</v>
      </c>
      <c r="AK24" s="29">
        <f t="shared" si="26"/>
        <v>-695</v>
      </c>
      <c r="AL24" s="29">
        <f t="shared" si="26"/>
        <v>-854</v>
      </c>
      <c r="AM24" s="29">
        <f t="shared" si="29"/>
        <v>-573</v>
      </c>
      <c r="AN24" s="29">
        <f t="shared" si="27"/>
        <v>-529</v>
      </c>
      <c r="AO24" s="29">
        <f t="shared" si="27"/>
        <v>-496</v>
      </c>
      <c r="AP24" s="29">
        <f t="shared" si="27"/>
        <v>-635</v>
      </c>
      <c r="AQ24" s="29">
        <f t="shared" si="30"/>
        <v>-587</v>
      </c>
      <c r="AR24" s="29">
        <f t="shared" si="28"/>
        <v>-808</v>
      </c>
      <c r="AS24" s="29">
        <f t="shared" si="28"/>
        <v>-650</v>
      </c>
      <c r="AT24" s="29">
        <f t="shared" si="28"/>
        <v>-550</v>
      </c>
      <c r="AU24" s="29">
        <f t="shared" si="31"/>
        <v>-957</v>
      </c>
      <c r="AV24" s="15"/>
    </row>
    <row r="25" spans="1:48" ht="24">
      <c r="A25" s="44" t="s">
        <v>31</v>
      </c>
      <c r="B25" s="52" t="s">
        <v>84</v>
      </c>
      <c r="C25" s="27">
        <v>-831</v>
      </c>
      <c r="D25" s="27">
        <v>-1311</v>
      </c>
      <c r="E25" s="27">
        <v>-1131</v>
      </c>
      <c r="F25" s="27">
        <v>-1666</v>
      </c>
      <c r="G25" s="27">
        <v>-1462</v>
      </c>
      <c r="H25" s="27">
        <v>-1920</v>
      </c>
      <c r="I25" s="27">
        <v>-2084</v>
      </c>
      <c r="J25" s="27">
        <v>-2133</v>
      </c>
      <c r="K25" s="27">
        <v>-2153</v>
      </c>
      <c r="L25" s="27">
        <v>-2234</v>
      </c>
      <c r="M25" s="27">
        <v>-2104</v>
      </c>
      <c r="N25" s="27">
        <v>-2176</v>
      </c>
      <c r="O25" s="27">
        <v>-2238</v>
      </c>
      <c r="P25" s="27">
        <v>-2612</v>
      </c>
      <c r="Q25" s="27">
        <v>-2699</v>
      </c>
      <c r="R25" s="27">
        <v>-2694</v>
      </c>
      <c r="S25" s="27">
        <v>-2635</v>
      </c>
      <c r="T25" s="27">
        <f>+T66-S25</f>
        <v>-2529</v>
      </c>
      <c r="U25" s="27">
        <f t="shared" si="32"/>
        <v>-2177</v>
      </c>
      <c r="V25" s="27">
        <f t="shared" si="32"/>
        <v>-2180</v>
      </c>
      <c r="W25" s="27">
        <f>+W66</f>
        <v>-2225.1880000000001</v>
      </c>
      <c r="X25" s="27">
        <f>+X66-W25</f>
        <v>-2147.5570999999991</v>
      </c>
      <c r="Y25" s="27">
        <f t="shared" si="33"/>
        <v>-3201.37</v>
      </c>
      <c r="Z25" s="27">
        <f t="shared" si="33"/>
        <v>-2734.8118000000068</v>
      </c>
      <c r="AA25" s="27">
        <f t="shared" si="21"/>
        <v>-3067.5132999999996</v>
      </c>
      <c r="AB25" s="27">
        <f t="shared" si="22"/>
        <v>-2342.4207000000015</v>
      </c>
      <c r="AC25" s="27">
        <f t="shared" si="22"/>
        <v>-2538.5919999999987</v>
      </c>
      <c r="AD25" s="27">
        <f t="shared" si="22"/>
        <v>-2468.3831000000009</v>
      </c>
      <c r="AE25" s="27">
        <f t="shared" si="23"/>
        <v>-2685</v>
      </c>
      <c r="AF25" s="27">
        <f t="shared" si="24"/>
        <v>-2687</v>
      </c>
      <c r="AG25" s="27">
        <f t="shared" si="24"/>
        <v>-3146</v>
      </c>
      <c r="AH25" s="27">
        <f t="shared" si="24"/>
        <v>-3157</v>
      </c>
      <c r="AI25" s="27">
        <f t="shared" si="25"/>
        <v>-2993</v>
      </c>
      <c r="AJ25" s="27">
        <f t="shared" si="26"/>
        <v>-2841</v>
      </c>
      <c r="AK25" s="27">
        <f t="shared" si="26"/>
        <v>-2608</v>
      </c>
      <c r="AL25" s="27">
        <f t="shared" si="26"/>
        <v>-2474</v>
      </c>
      <c r="AM25" s="27">
        <f t="shared" si="29"/>
        <v>-2582</v>
      </c>
      <c r="AN25" s="27">
        <f t="shared" si="27"/>
        <v>-2776</v>
      </c>
      <c r="AO25" s="27">
        <f t="shared" si="27"/>
        <v>-2786</v>
      </c>
      <c r="AP25" s="27">
        <f t="shared" si="27"/>
        <v>-2970</v>
      </c>
      <c r="AQ25" s="27">
        <f t="shared" si="30"/>
        <v>-3175</v>
      </c>
      <c r="AR25" s="27">
        <f t="shared" si="28"/>
        <v>-3107</v>
      </c>
      <c r="AS25" s="27">
        <f t="shared" si="28"/>
        <v>-3259</v>
      </c>
      <c r="AT25" s="27">
        <f t="shared" si="28"/>
        <v>-3894</v>
      </c>
      <c r="AU25" s="27">
        <f t="shared" si="31"/>
        <v>-4217</v>
      </c>
      <c r="AV25" s="15"/>
    </row>
    <row r="26" spans="1:48" ht="12.5" thickBot="1">
      <c r="A26" s="44" t="s">
        <v>32</v>
      </c>
      <c r="B26" s="52" t="s">
        <v>82</v>
      </c>
      <c r="C26" s="27">
        <v>-775</v>
      </c>
      <c r="D26" s="27">
        <v>-608</v>
      </c>
      <c r="E26" s="27">
        <v>-806</v>
      </c>
      <c r="F26" s="27">
        <v>-1021</v>
      </c>
      <c r="G26" s="27">
        <v>-1084</v>
      </c>
      <c r="H26" s="27">
        <v>-1500</v>
      </c>
      <c r="I26" s="27">
        <v>-1234</v>
      </c>
      <c r="J26" s="27">
        <v>-3196</v>
      </c>
      <c r="K26" s="27">
        <v>-3130</v>
      </c>
      <c r="L26" s="27">
        <v>-1737</v>
      </c>
      <c r="M26" s="27">
        <v>-2591</v>
      </c>
      <c r="N26" s="27">
        <v>-4923</v>
      </c>
      <c r="O26" s="27">
        <v>-4220</v>
      </c>
      <c r="P26" s="27">
        <v>-4515</v>
      </c>
      <c r="Q26" s="27">
        <v>-5260</v>
      </c>
      <c r="R26" s="27">
        <v>-3751</v>
      </c>
      <c r="S26" s="27">
        <v>-4140</v>
      </c>
      <c r="T26" s="27">
        <f>+T67-S26</f>
        <v>-5415</v>
      </c>
      <c r="U26" s="27">
        <f t="shared" si="32"/>
        <v>-6209</v>
      </c>
      <c r="V26" s="27">
        <f t="shared" si="32"/>
        <v>-7300</v>
      </c>
      <c r="W26" s="27">
        <f>+W67</f>
        <v>-2557.1770400000046</v>
      </c>
      <c r="X26" s="27">
        <f>+X67-W26</f>
        <v>-3652.631909999986</v>
      </c>
      <c r="Y26" s="27">
        <f t="shared" si="33"/>
        <v>-4390.7857400000257</v>
      </c>
      <c r="Z26" s="27">
        <f t="shared" si="33"/>
        <v>-8019.2400400001243</v>
      </c>
      <c r="AA26" s="27">
        <f t="shared" si="21"/>
        <v>-3946.2486600000111</v>
      </c>
      <c r="AB26" s="27">
        <f t="shared" si="22"/>
        <v>-4948.9179299999623</v>
      </c>
      <c r="AC26" s="27">
        <f t="shared" si="22"/>
        <v>-5237.1918300000289</v>
      </c>
      <c r="AD26" s="27">
        <f t="shared" si="22"/>
        <v>-5527.7831899999819</v>
      </c>
      <c r="AE26" s="27">
        <f t="shared" si="23"/>
        <v>-4433</v>
      </c>
      <c r="AF26" s="27">
        <f t="shared" si="24"/>
        <v>-7316</v>
      </c>
      <c r="AG26" s="27">
        <f t="shared" si="24"/>
        <v>-6980</v>
      </c>
      <c r="AH26" s="27">
        <f t="shared" si="24"/>
        <v>-7855</v>
      </c>
      <c r="AI26" s="27">
        <f t="shared" si="25"/>
        <v>-6204</v>
      </c>
      <c r="AJ26" s="27">
        <f t="shared" si="26"/>
        <v>-9032</v>
      </c>
      <c r="AK26" s="27">
        <f t="shared" si="26"/>
        <v>-9635</v>
      </c>
      <c r="AL26" s="27">
        <f t="shared" si="26"/>
        <v>-9463</v>
      </c>
      <c r="AM26" s="27">
        <f t="shared" si="29"/>
        <v>-10155</v>
      </c>
      <c r="AN26" s="27">
        <f t="shared" si="27"/>
        <v>-9439</v>
      </c>
      <c r="AO26" s="27">
        <f t="shared" si="27"/>
        <v>-14957</v>
      </c>
      <c r="AP26" s="27">
        <f t="shared" si="27"/>
        <v>-13470</v>
      </c>
      <c r="AQ26" s="27">
        <f t="shared" si="30"/>
        <v>-11854</v>
      </c>
      <c r="AR26" s="27">
        <f t="shared" si="28"/>
        <v>-13930</v>
      </c>
      <c r="AS26" s="27">
        <f t="shared" si="28"/>
        <v>-13996</v>
      </c>
      <c r="AT26" s="27">
        <f t="shared" si="28"/>
        <v>-13929</v>
      </c>
      <c r="AU26" s="27">
        <f t="shared" si="31"/>
        <v>-13332</v>
      </c>
      <c r="AV26" s="15"/>
    </row>
    <row r="27" spans="1:48" ht="12.5" thickBot="1">
      <c r="A27" s="48" t="s">
        <v>33</v>
      </c>
      <c r="B27" s="53" t="s">
        <v>83</v>
      </c>
      <c r="C27" s="32">
        <v>-19344</v>
      </c>
      <c r="D27" s="32">
        <v>-21498</v>
      </c>
      <c r="E27" s="32">
        <v>-20919</v>
      </c>
      <c r="F27" s="32">
        <v>-21887</v>
      </c>
      <c r="G27" s="32">
        <v>-21064</v>
      </c>
      <c r="H27" s="32">
        <v>-25780</v>
      </c>
      <c r="I27" s="32">
        <v>-24798</v>
      </c>
      <c r="J27" s="32">
        <v>-28465</v>
      </c>
      <c r="K27" s="32">
        <v>-27030</v>
      </c>
      <c r="L27" s="32">
        <v>-29157</v>
      </c>
      <c r="M27" s="32">
        <f>SUM(M17:M26)</f>
        <v>-29047</v>
      </c>
      <c r="N27" s="32">
        <f>SUM(N17:N26)</f>
        <v>-31749</v>
      </c>
      <c r="O27" s="32">
        <v>-29981</v>
      </c>
      <c r="P27" s="32">
        <v>-33646</v>
      </c>
      <c r="Q27" s="32">
        <v>-35526</v>
      </c>
      <c r="R27" s="32">
        <v>-36582</v>
      </c>
      <c r="S27" s="32">
        <v>-36698</v>
      </c>
      <c r="T27" s="32">
        <f t="shared" ref="T27:V27" si="34">SUM(T17:T26)</f>
        <v>-41276</v>
      </c>
      <c r="U27" s="32">
        <f t="shared" si="34"/>
        <v>-42434</v>
      </c>
      <c r="V27" s="32">
        <f t="shared" si="34"/>
        <v>-42768</v>
      </c>
      <c r="W27" s="32">
        <f t="shared" ref="W27:Y27" si="35">SUM(W17:W26)</f>
        <v>-38356.305860000008</v>
      </c>
      <c r="X27" s="32">
        <f t="shared" si="35"/>
        <v>-46271.184629999982</v>
      </c>
      <c r="Y27" s="32">
        <f t="shared" si="35"/>
        <v>-59964.636670000051</v>
      </c>
      <c r="Z27" s="32">
        <f>SUM(Z17:Z26)</f>
        <v>-56142.62743000011</v>
      </c>
      <c r="AA27" s="32">
        <f t="shared" ref="AA27:AS27" si="36">SUM(AA17:AA26)</f>
        <v>-53135.626330000006</v>
      </c>
      <c r="AB27" s="32">
        <f t="shared" si="36"/>
        <v>-45039.50604999996</v>
      </c>
      <c r="AC27" s="32">
        <f t="shared" si="36"/>
        <v>-55365.804150000025</v>
      </c>
      <c r="AD27" s="32">
        <f t="shared" si="36"/>
        <v>-47817.103349999976</v>
      </c>
      <c r="AE27" s="32">
        <f t="shared" si="36"/>
        <v>-41217</v>
      </c>
      <c r="AF27" s="32">
        <f t="shared" si="36"/>
        <v>-44545</v>
      </c>
      <c r="AG27" s="32">
        <f t="shared" si="36"/>
        <v>-50332</v>
      </c>
      <c r="AH27" s="32">
        <f t="shared" si="36"/>
        <v>-45544</v>
      </c>
      <c r="AI27" s="32">
        <f t="shared" si="36"/>
        <v>-47091</v>
      </c>
      <c r="AJ27" s="32">
        <f t="shared" si="36"/>
        <v>-54376</v>
      </c>
      <c r="AK27" s="32">
        <f t="shared" si="36"/>
        <v>-60487</v>
      </c>
      <c r="AL27" s="32">
        <f t="shared" si="36"/>
        <v>-57486</v>
      </c>
      <c r="AM27" s="32">
        <f t="shared" si="36"/>
        <v>-59716</v>
      </c>
      <c r="AN27" s="32">
        <f t="shared" si="36"/>
        <v>-60931</v>
      </c>
      <c r="AO27" s="32">
        <f t="shared" si="36"/>
        <v>-67824</v>
      </c>
      <c r="AP27" s="32">
        <f t="shared" si="36"/>
        <v>-66279</v>
      </c>
      <c r="AQ27" s="32">
        <f t="shared" si="36"/>
        <v>-62840</v>
      </c>
      <c r="AR27" s="32">
        <f t="shared" si="36"/>
        <v>-71610</v>
      </c>
      <c r="AS27" s="32">
        <f t="shared" si="36"/>
        <v>-76037</v>
      </c>
      <c r="AT27" s="32">
        <f t="shared" ref="AT27:AU27" si="37">SUM(AT17:AT26)</f>
        <v>-71134</v>
      </c>
      <c r="AU27" s="32">
        <f t="shared" si="37"/>
        <v>-66928</v>
      </c>
      <c r="AV27" s="15"/>
    </row>
    <row r="29" spans="1:48" s="117" customFormat="1" ht="24.5" thickBot="1">
      <c r="A29" s="98" t="s">
        <v>392</v>
      </c>
      <c r="B29" s="98" t="s">
        <v>96</v>
      </c>
      <c r="C29" s="115" t="s">
        <v>115</v>
      </c>
      <c r="D29" s="115" t="s">
        <v>117</v>
      </c>
      <c r="E29" s="115" t="s">
        <v>123</v>
      </c>
      <c r="F29" s="115" t="s">
        <v>136</v>
      </c>
      <c r="G29" s="115" t="s">
        <v>140</v>
      </c>
      <c r="H29" s="115" t="s">
        <v>158</v>
      </c>
      <c r="I29" s="115" t="s">
        <v>161</v>
      </c>
      <c r="J29" s="115" t="s">
        <v>164</v>
      </c>
      <c r="K29" s="115" t="s">
        <v>166</v>
      </c>
      <c r="L29" s="115" t="s">
        <v>171</v>
      </c>
      <c r="M29" s="115" t="s">
        <v>174</v>
      </c>
      <c r="N29" s="115" t="s">
        <v>177</v>
      </c>
      <c r="O29" s="115" t="s">
        <v>179</v>
      </c>
      <c r="P29" s="115" t="s">
        <v>182</v>
      </c>
      <c r="Q29" s="115" t="s">
        <v>185</v>
      </c>
      <c r="R29" s="115" t="s">
        <v>190</v>
      </c>
      <c r="S29" s="115" t="s">
        <v>192</v>
      </c>
      <c r="T29" s="115" t="s">
        <v>263</v>
      </c>
      <c r="U29" s="115" t="s">
        <v>298</v>
      </c>
      <c r="V29" s="115" t="s">
        <v>303</v>
      </c>
      <c r="W29" s="115" t="s">
        <v>306</v>
      </c>
      <c r="X29" s="115" t="s">
        <v>316</v>
      </c>
      <c r="Y29" s="115" t="s">
        <v>320</v>
      </c>
      <c r="Z29" s="115" t="s">
        <v>329</v>
      </c>
      <c r="AA29" s="115" t="s">
        <v>400</v>
      </c>
      <c r="AB29" s="115" t="s">
        <v>470</v>
      </c>
      <c r="AC29" s="115" t="s">
        <v>475</v>
      </c>
      <c r="AD29" s="115" t="s">
        <v>484</v>
      </c>
      <c r="AE29" s="115" t="s">
        <v>489</v>
      </c>
      <c r="AF29" s="115" t="s">
        <v>493</v>
      </c>
      <c r="AG29" s="115" t="s">
        <v>505</v>
      </c>
      <c r="AH29" s="115" t="s">
        <v>510</v>
      </c>
      <c r="AI29" s="115" t="s">
        <v>515</v>
      </c>
      <c r="AJ29" s="115" t="s">
        <v>523</v>
      </c>
      <c r="AK29" s="115" t="s">
        <v>527</v>
      </c>
      <c r="AL29" s="115" t="s">
        <v>533</v>
      </c>
      <c r="AM29" s="115" t="s">
        <v>547</v>
      </c>
      <c r="AN29" s="115" t="s">
        <v>648</v>
      </c>
      <c r="AO29" s="115" t="s">
        <v>652</v>
      </c>
      <c r="AP29" s="115" t="s">
        <v>661</v>
      </c>
      <c r="AQ29" s="115" t="s">
        <v>666</v>
      </c>
      <c r="AR29" s="115" t="s">
        <v>672</v>
      </c>
      <c r="AS29" s="115" t="s">
        <v>680</v>
      </c>
      <c r="AT29" s="115" t="s">
        <v>685</v>
      </c>
      <c r="AU29" s="115" t="s">
        <v>690</v>
      </c>
    </row>
    <row r="30" spans="1:48">
      <c r="A30" s="44" t="s">
        <v>24</v>
      </c>
      <c r="B30" s="51" t="s">
        <v>73</v>
      </c>
      <c r="C30" s="28">
        <v>22932</v>
      </c>
      <c r="D30" s="28">
        <v>23193</v>
      </c>
      <c r="E30" s="28">
        <v>22997</v>
      </c>
      <c r="F30" s="28">
        <v>22368</v>
      </c>
      <c r="G30" s="28">
        <v>21685</v>
      </c>
      <c r="H30" s="28">
        <v>21256</v>
      </c>
      <c r="I30" s="28">
        <v>22158</v>
      </c>
      <c r="J30" s="28">
        <v>19682</v>
      </c>
      <c r="K30" s="28">
        <v>19704</v>
      </c>
      <c r="L30" s="28">
        <v>20315</v>
      </c>
      <c r="M30" s="28">
        <f>M4+M17</f>
        <v>19833</v>
      </c>
      <c r="N30" s="28">
        <f>N4+N17</f>
        <v>19999</v>
      </c>
      <c r="O30" s="28">
        <f t="shared" ref="O30:R39" si="38">O4+O17</f>
        <v>19354</v>
      </c>
      <c r="P30" s="28">
        <f t="shared" si="38"/>
        <v>19285</v>
      </c>
      <c r="Q30" s="28">
        <f t="shared" si="38"/>
        <v>18243</v>
      </c>
      <c r="R30" s="28">
        <f t="shared" si="38"/>
        <v>19168</v>
      </c>
      <c r="S30" s="28">
        <f t="shared" ref="S30:S39" si="39">S4+S17</f>
        <v>20158</v>
      </c>
      <c r="T30" s="28">
        <f t="shared" ref="T30:Z39" si="40">+T4+T17</f>
        <v>20376</v>
      </c>
      <c r="U30" s="28">
        <f t="shared" si="40"/>
        <v>20308</v>
      </c>
      <c r="V30" s="28">
        <f t="shared" si="40"/>
        <v>18272</v>
      </c>
      <c r="W30" s="28">
        <f t="shared" si="40"/>
        <v>18715.730240000001</v>
      </c>
      <c r="X30" s="28">
        <f t="shared" si="40"/>
        <v>18625.583739999995</v>
      </c>
      <c r="Y30" s="28">
        <f t="shared" si="40"/>
        <v>19199.897510000003</v>
      </c>
      <c r="Z30" s="28">
        <f>+Z4+Z17</f>
        <v>17976.004469999993</v>
      </c>
      <c r="AA30" s="28">
        <f t="shared" ref="AA30:AP39" si="41">+AA4+AA17</f>
        <v>18970.078550000002</v>
      </c>
      <c r="AB30" s="28">
        <f t="shared" si="41"/>
        <v>18878.677919999995</v>
      </c>
      <c r="AC30" s="28">
        <f t="shared" si="41"/>
        <v>22190.546050000012</v>
      </c>
      <c r="AD30" s="28">
        <f t="shared" si="41"/>
        <v>22184.929309999992</v>
      </c>
      <c r="AE30" s="28">
        <f t="shared" si="41"/>
        <v>40780</v>
      </c>
      <c r="AF30" s="28">
        <f t="shared" si="41"/>
        <v>26829</v>
      </c>
      <c r="AG30" s="28">
        <f t="shared" si="41"/>
        <v>29624</v>
      </c>
      <c r="AH30" s="28">
        <f t="shared" si="41"/>
        <v>28214</v>
      </c>
      <c r="AI30" s="28">
        <f t="shared" si="41"/>
        <v>37730</v>
      </c>
      <c r="AJ30" s="28">
        <f t="shared" si="41"/>
        <v>27845</v>
      </c>
      <c r="AK30" s="28">
        <f t="shared" si="41"/>
        <v>25702</v>
      </c>
      <c r="AL30" s="28">
        <f t="shared" si="41"/>
        <v>23559</v>
      </c>
      <c r="AM30" s="28">
        <f t="shared" si="41"/>
        <v>19303</v>
      </c>
      <c r="AN30" s="28">
        <f t="shared" si="41"/>
        <v>18355</v>
      </c>
      <c r="AO30" s="28">
        <f t="shared" si="41"/>
        <v>18375</v>
      </c>
      <c r="AP30" s="28">
        <f t="shared" si="41"/>
        <v>16961</v>
      </c>
      <c r="AQ30" s="28">
        <f t="shared" ref="AQ30:AS39" si="42">+AQ4+AQ17</f>
        <v>17423</v>
      </c>
      <c r="AR30" s="28">
        <f t="shared" si="42"/>
        <v>16711</v>
      </c>
      <c r="AS30" s="28">
        <f t="shared" si="42"/>
        <v>17865</v>
      </c>
      <c r="AT30" s="28">
        <f t="shared" ref="AT30:AU39" si="43">+AT4+AT17</f>
        <v>15086</v>
      </c>
      <c r="AU30" s="28">
        <f t="shared" si="43"/>
        <v>15500</v>
      </c>
    </row>
    <row r="31" spans="1:48" ht="36">
      <c r="A31" s="44" t="s">
        <v>34</v>
      </c>
      <c r="B31" s="52" t="s">
        <v>74</v>
      </c>
      <c r="C31" s="29">
        <v>10876</v>
      </c>
      <c r="D31" s="29">
        <v>11351</v>
      </c>
      <c r="E31" s="29">
        <v>11400</v>
      </c>
      <c r="F31" s="29">
        <v>11704</v>
      </c>
      <c r="G31" s="29">
        <v>11230</v>
      </c>
      <c r="H31" s="29">
        <v>11903</v>
      </c>
      <c r="I31" s="29">
        <v>11948</v>
      </c>
      <c r="J31" s="29">
        <v>12618</v>
      </c>
      <c r="K31" s="29">
        <v>12063</v>
      </c>
      <c r="L31" s="29">
        <v>12962</v>
      </c>
      <c r="M31" s="29">
        <f t="shared" ref="M31:N39" si="44">M5+M18</f>
        <v>13045</v>
      </c>
      <c r="N31" s="29">
        <f t="shared" si="44"/>
        <v>13461</v>
      </c>
      <c r="O31" s="29">
        <f t="shared" si="38"/>
        <v>13272</v>
      </c>
      <c r="P31" s="29">
        <f t="shared" si="38"/>
        <v>14372</v>
      </c>
      <c r="Q31" s="29">
        <f t="shared" si="38"/>
        <v>15256</v>
      </c>
      <c r="R31" s="29">
        <f t="shared" si="38"/>
        <v>16255</v>
      </c>
      <c r="S31" s="29">
        <f t="shared" si="39"/>
        <v>17405</v>
      </c>
      <c r="T31" s="29">
        <f t="shared" ref="T31:U39" si="45">+T5+T18</f>
        <v>16800</v>
      </c>
      <c r="U31" s="29">
        <f t="shared" si="45"/>
        <v>16753</v>
      </c>
      <c r="V31" s="29">
        <f t="shared" ref="V31:V39" si="46">+V5+V18</f>
        <v>17317</v>
      </c>
      <c r="W31" s="29">
        <f t="shared" si="40"/>
        <v>16413.442999999999</v>
      </c>
      <c r="X31" s="29">
        <f t="shared" si="40"/>
        <v>17761.768999999997</v>
      </c>
      <c r="Y31" s="29">
        <f t="shared" si="40"/>
        <v>18034.151000000005</v>
      </c>
      <c r="Z31" s="29">
        <f t="shared" si="40"/>
        <v>16859.546999999991</v>
      </c>
      <c r="AA31" s="29">
        <f t="shared" si="41"/>
        <v>15425.972000000002</v>
      </c>
      <c r="AB31" s="29">
        <f t="shared" si="41"/>
        <v>14650.212</v>
      </c>
      <c r="AC31" s="29">
        <f t="shared" si="41"/>
        <v>16480.290999999997</v>
      </c>
      <c r="AD31" s="29">
        <f t="shared" si="41"/>
        <v>16571.564000000009</v>
      </c>
      <c r="AE31" s="29">
        <f>+AE5+AE18</f>
        <v>17332</v>
      </c>
      <c r="AF31" s="29">
        <f t="shared" si="41"/>
        <v>18126</v>
      </c>
      <c r="AG31" s="29">
        <f t="shared" si="41"/>
        <v>18942</v>
      </c>
      <c r="AH31" s="29">
        <f t="shared" si="41"/>
        <v>19845</v>
      </c>
      <c r="AI31" s="29">
        <f t="shared" si="41"/>
        <v>20097</v>
      </c>
      <c r="AJ31" s="29">
        <f t="shared" si="41"/>
        <v>21732</v>
      </c>
      <c r="AK31" s="29">
        <f t="shared" si="41"/>
        <v>21521</v>
      </c>
      <c r="AL31" s="29">
        <f t="shared" si="41"/>
        <v>22667</v>
      </c>
      <c r="AM31" s="29">
        <f t="shared" si="41"/>
        <v>21680</v>
      </c>
      <c r="AN31" s="29">
        <f t="shared" si="41"/>
        <v>22673</v>
      </c>
      <c r="AO31" s="29">
        <f t="shared" si="41"/>
        <v>22637</v>
      </c>
      <c r="AP31" s="29">
        <f t="shared" si="41"/>
        <v>23056</v>
      </c>
      <c r="AQ31" s="29">
        <f t="shared" si="42"/>
        <v>22833</v>
      </c>
      <c r="AR31" s="29">
        <f t="shared" si="42"/>
        <v>24490</v>
      </c>
      <c r="AS31" s="29">
        <f t="shared" si="42"/>
        <v>24948</v>
      </c>
      <c r="AT31" s="29">
        <f t="shared" ref="AT31" si="47">+AT5+AT18</f>
        <v>25278</v>
      </c>
      <c r="AU31" s="29">
        <f t="shared" si="43"/>
        <v>24679</v>
      </c>
    </row>
    <row r="32" spans="1:48">
      <c r="A32" s="44" t="s">
        <v>25</v>
      </c>
      <c r="B32" s="52" t="s">
        <v>75</v>
      </c>
      <c r="C32" s="29">
        <v>19378</v>
      </c>
      <c r="D32" s="29">
        <v>16942</v>
      </c>
      <c r="E32" s="29">
        <v>16321</v>
      </c>
      <c r="F32" s="29">
        <v>19232</v>
      </c>
      <c r="G32" s="29">
        <v>25233</v>
      </c>
      <c r="H32" s="29">
        <v>23445</v>
      </c>
      <c r="I32" s="29">
        <v>26187</v>
      </c>
      <c r="J32" s="29">
        <v>25015</v>
      </c>
      <c r="K32" s="29">
        <v>31026</v>
      </c>
      <c r="L32" s="29">
        <v>29500</v>
      </c>
      <c r="M32" s="29">
        <f t="shared" si="44"/>
        <v>29315</v>
      </c>
      <c r="N32" s="29">
        <f t="shared" si="44"/>
        <v>31280</v>
      </c>
      <c r="O32" s="29">
        <f t="shared" si="38"/>
        <v>34634</v>
      </c>
      <c r="P32" s="29">
        <f t="shared" si="38"/>
        <v>31615</v>
      </c>
      <c r="Q32" s="29">
        <f t="shared" si="38"/>
        <v>32782</v>
      </c>
      <c r="R32" s="29">
        <f t="shared" si="38"/>
        <v>33248</v>
      </c>
      <c r="S32" s="29">
        <f t="shared" si="39"/>
        <v>34622</v>
      </c>
      <c r="T32" s="29">
        <f t="shared" si="45"/>
        <v>32603</v>
      </c>
      <c r="U32" s="29">
        <f t="shared" si="45"/>
        <v>31768</v>
      </c>
      <c r="V32" s="29">
        <f t="shared" si="46"/>
        <v>36701</v>
      </c>
      <c r="W32" s="29">
        <f t="shared" si="40"/>
        <v>36263.404160000006</v>
      </c>
      <c r="X32" s="29">
        <f t="shared" si="40"/>
        <v>36577.494429999992</v>
      </c>
      <c r="Y32" s="29">
        <f t="shared" si="40"/>
        <v>41499.448489999988</v>
      </c>
      <c r="Z32" s="29">
        <f t="shared" si="40"/>
        <v>46608.700879999975</v>
      </c>
      <c r="AA32" s="29">
        <f t="shared" si="41"/>
        <v>41203.766550000008</v>
      </c>
      <c r="AB32" s="29">
        <f t="shared" si="41"/>
        <v>35858.801759999995</v>
      </c>
      <c r="AC32" s="29">
        <f t="shared" si="41"/>
        <v>38436.952769999996</v>
      </c>
      <c r="AD32" s="29">
        <f t="shared" si="41"/>
        <v>42466.718220000002</v>
      </c>
      <c r="AE32" s="29">
        <f t="shared" si="41"/>
        <v>43567</v>
      </c>
      <c r="AF32" s="29">
        <f t="shared" si="41"/>
        <v>47101</v>
      </c>
      <c r="AG32" s="29">
        <f t="shared" si="41"/>
        <v>43867</v>
      </c>
      <c r="AH32" s="29">
        <f t="shared" si="41"/>
        <v>49772</v>
      </c>
      <c r="AI32" s="29">
        <f t="shared" si="41"/>
        <v>53368</v>
      </c>
      <c r="AJ32" s="29">
        <f t="shared" si="41"/>
        <v>50455</v>
      </c>
      <c r="AK32" s="29">
        <f t="shared" si="41"/>
        <v>28668</v>
      </c>
      <c r="AL32" s="29">
        <f t="shared" si="41"/>
        <v>45118</v>
      </c>
      <c r="AM32" s="29">
        <f t="shared" si="41"/>
        <v>46897</v>
      </c>
      <c r="AN32" s="29">
        <f t="shared" si="41"/>
        <v>44066</v>
      </c>
      <c r="AO32" s="29">
        <f t="shared" si="41"/>
        <v>44994</v>
      </c>
      <c r="AP32" s="29">
        <f t="shared" si="41"/>
        <v>49004</v>
      </c>
      <c r="AQ32" s="29">
        <f t="shared" si="42"/>
        <v>46194</v>
      </c>
      <c r="AR32" s="29">
        <f t="shared" si="42"/>
        <v>44184</v>
      </c>
      <c r="AS32" s="29">
        <f t="shared" si="42"/>
        <v>36559</v>
      </c>
      <c r="AT32" s="29">
        <f t="shared" ref="AT32" si="48">+AT6+AT19</f>
        <v>40344</v>
      </c>
      <c r="AU32" s="29">
        <f t="shared" si="43"/>
        <v>40842</v>
      </c>
    </row>
    <row r="33" spans="1:66">
      <c r="A33" s="44" t="s">
        <v>26</v>
      </c>
      <c r="B33" s="52" t="s">
        <v>76</v>
      </c>
      <c r="C33" s="29">
        <v>3602</v>
      </c>
      <c r="D33" s="29">
        <v>3120</v>
      </c>
      <c r="E33" s="29">
        <v>2991</v>
      </c>
      <c r="F33" s="29">
        <v>3066</v>
      </c>
      <c r="G33" s="29">
        <v>3576</v>
      </c>
      <c r="H33" s="29">
        <v>3019</v>
      </c>
      <c r="I33" s="29">
        <v>2902</v>
      </c>
      <c r="J33" s="29">
        <v>3020</v>
      </c>
      <c r="K33" s="29">
        <v>3748</v>
      </c>
      <c r="L33" s="29">
        <v>2921</v>
      </c>
      <c r="M33" s="29">
        <f t="shared" si="44"/>
        <v>2617</v>
      </c>
      <c r="N33" s="29">
        <f t="shared" si="44"/>
        <v>2975</v>
      </c>
      <c r="O33" s="29">
        <f t="shared" si="38"/>
        <v>3640</v>
      </c>
      <c r="P33" s="29">
        <f t="shared" si="38"/>
        <v>2899</v>
      </c>
      <c r="Q33" s="29">
        <f t="shared" si="38"/>
        <v>2871</v>
      </c>
      <c r="R33" s="29">
        <f t="shared" si="38"/>
        <v>2748</v>
      </c>
      <c r="S33" s="29">
        <f t="shared" si="39"/>
        <v>3810</v>
      </c>
      <c r="T33" s="29">
        <f t="shared" si="45"/>
        <v>3355</v>
      </c>
      <c r="U33" s="29">
        <f t="shared" si="45"/>
        <v>3610</v>
      </c>
      <c r="V33" s="29">
        <f t="shared" si="46"/>
        <v>4397</v>
      </c>
      <c r="W33" s="29">
        <f t="shared" si="40"/>
        <v>3569.0448099999999</v>
      </c>
      <c r="X33" s="29">
        <f t="shared" si="40"/>
        <v>3168.70145</v>
      </c>
      <c r="Y33" s="29">
        <f t="shared" si="40"/>
        <v>3524.0169999999998</v>
      </c>
      <c r="Z33" s="29">
        <f t="shared" si="40"/>
        <v>3528.3346700000002</v>
      </c>
      <c r="AA33" s="29">
        <f t="shared" si="41"/>
        <v>3759.0601299999998</v>
      </c>
      <c r="AB33" s="29">
        <f t="shared" si="41"/>
        <v>3191.4981200000002</v>
      </c>
      <c r="AC33" s="29">
        <f t="shared" si="41"/>
        <v>3382.5272100000002</v>
      </c>
      <c r="AD33" s="29">
        <f t="shared" si="41"/>
        <v>3465.6883600000001</v>
      </c>
      <c r="AE33" s="29">
        <f t="shared" si="41"/>
        <v>3229</v>
      </c>
      <c r="AF33" s="29">
        <f t="shared" si="41"/>
        <v>3430</v>
      </c>
      <c r="AG33" s="29">
        <f t="shared" si="41"/>
        <v>3269</v>
      </c>
      <c r="AH33" s="29">
        <f t="shared" si="41"/>
        <v>3497</v>
      </c>
      <c r="AI33" s="29">
        <f t="shared" si="41"/>
        <v>3876</v>
      </c>
      <c r="AJ33" s="29">
        <f t="shared" si="41"/>
        <v>3186</v>
      </c>
      <c r="AK33" s="29">
        <f t="shared" si="41"/>
        <v>3401</v>
      </c>
      <c r="AL33" s="29">
        <f t="shared" si="41"/>
        <v>3862</v>
      </c>
      <c r="AM33" s="29">
        <f t="shared" si="41"/>
        <v>3809</v>
      </c>
      <c r="AN33" s="29">
        <f t="shared" si="41"/>
        <v>3404</v>
      </c>
      <c r="AO33" s="29">
        <f t="shared" si="41"/>
        <v>3612</v>
      </c>
      <c r="AP33" s="29">
        <f t="shared" si="41"/>
        <v>3568</v>
      </c>
      <c r="AQ33" s="29">
        <f t="shared" si="42"/>
        <v>3602</v>
      </c>
      <c r="AR33" s="29">
        <f t="shared" si="42"/>
        <v>3268</v>
      </c>
      <c r="AS33" s="29">
        <f t="shared" si="42"/>
        <v>3367</v>
      </c>
      <c r="AT33" s="29">
        <f t="shared" ref="AT33" si="49">+AT7+AT20</f>
        <v>3461</v>
      </c>
      <c r="AU33" s="29">
        <f t="shared" si="43"/>
        <v>3401</v>
      </c>
    </row>
    <row r="34" spans="1:66">
      <c r="A34" s="44" t="s">
        <v>27</v>
      </c>
      <c r="B34" s="52" t="s">
        <v>77</v>
      </c>
      <c r="C34" s="29">
        <v>37848</v>
      </c>
      <c r="D34" s="29">
        <v>39379</v>
      </c>
      <c r="E34" s="29">
        <v>25686</v>
      </c>
      <c r="F34" s="29">
        <v>25469</v>
      </c>
      <c r="G34" s="29">
        <v>18570</v>
      </c>
      <c r="H34" s="29">
        <v>18576</v>
      </c>
      <c r="I34" s="29">
        <v>18729</v>
      </c>
      <c r="J34" s="29">
        <v>18834</v>
      </c>
      <c r="K34" s="29">
        <v>18602</v>
      </c>
      <c r="L34" s="29">
        <v>19299</v>
      </c>
      <c r="M34" s="29">
        <f t="shared" si="44"/>
        <v>20406</v>
      </c>
      <c r="N34" s="29">
        <f t="shared" si="44"/>
        <v>20323</v>
      </c>
      <c r="O34" s="29">
        <f t="shared" si="38"/>
        <v>20662</v>
      </c>
      <c r="P34" s="29">
        <f t="shared" si="38"/>
        <v>20898</v>
      </c>
      <c r="Q34" s="29">
        <f t="shared" si="38"/>
        <v>21871</v>
      </c>
      <c r="R34" s="29">
        <f t="shared" si="38"/>
        <v>21053</v>
      </c>
      <c r="S34" s="29">
        <f t="shared" si="39"/>
        <v>19871</v>
      </c>
      <c r="T34" s="29">
        <f t="shared" si="45"/>
        <v>20426</v>
      </c>
      <c r="U34" s="29">
        <f t="shared" si="45"/>
        <v>22706</v>
      </c>
      <c r="V34" s="29">
        <f t="shared" si="46"/>
        <v>25444</v>
      </c>
      <c r="W34" s="29">
        <f t="shared" si="40"/>
        <v>24033.927</v>
      </c>
      <c r="X34" s="29">
        <f t="shared" si="40"/>
        <v>25159.548939999997</v>
      </c>
      <c r="Y34" s="29">
        <f t="shared" si="40"/>
        <v>24156.311969999988</v>
      </c>
      <c r="Z34" s="29">
        <f t="shared" si="40"/>
        <v>25443.163000000015</v>
      </c>
      <c r="AA34" s="29">
        <f t="shared" si="41"/>
        <v>27959.826999999997</v>
      </c>
      <c r="AB34" s="29">
        <f t="shared" si="41"/>
        <v>31495.199999999997</v>
      </c>
      <c r="AC34" s="29">
        <f t="shared" si="41"/>
        <v>29883.108</v>
      </c>
      <c r="AD34" s="29">
        <f t="shared" si="41"/>
        <v>38233.955000000016</v>
      </c>
      <c r="AE34" s="29">
        <f t="shared" si="41"/>
        <v>30276</v>
      </c>
      <c r="AF34" s="29">
        <f t="shared" si="41"/>
        <v>38428</v>
      </c>
      <c r="AG34" s="29">
        <f t="shared" si="41"/>
        <v>38032</v>
      </c>
      <c r="AH34" s="29">
        <f t="shared" si="41"/>
        <v>42452</v>
      </c>
      <c r="AI34" s="29">
        <f t="shared" si="41"/>
        <v>36989</v>
      </c>
      <c r="AJ34" s="29">
        <f t="shared" si="41"/>
        <v>42658</v>
      </c>
      <c r="AK34" s="29">
        <f t="shared" si="41"/>
        <v>41699</v>
      </c>
      <c r="AL34" s="29">
        <f t="shared" si="41"/>
        <v>41903</v>
      </c>
      <c r="AM34" s="29">
        <f t="shared" si="41"/>
        <v>42605</v>
      </c>
      <c r="AN34" s="29">
        <f t="shared" si="41"/>
        <v>46929</v>
      </c>
      <c r="AO34" s="29">
        <f t="shared" si="41"/>
        <v>47621</v>
      </c>
      <c r="AP34" s="29">
        <f t="shared" si="41"/>
        <v>45514</v>
      </c>
      <c r="AQ34" s="29">
        <f t="shared" si="42"/>
        <v>48695</v>
      </c>
      <c r="AR34" s="29">
        <f t="shared" si="42"/>
        <v>49546</v>
      </c>
      <c r="AS34" s="29">
        <f t="shared" si="42"/>
        <v>49150</v>
      </c>
      <c r="AT34" s="29">
        <f t="shared" ref="AT34" si="50">+AT8+AT21</f>
        <v>51898</v>
      </c>
      <c r="AU34" s="29">
        <f t="shared" si="43"/>
        <v>55663</v>
      </c>
    </row>
    <row r="35" spans="1:66">
      <c r="A35" s="44" t="s">
        <v>28</v>
      </c>
      <c r="B35" s="52" t="s">
        <v>78</v>
      </c>
      <c r="C35" s="29">
        <v>12465</v>
      </c>
      <c r="D35" s="29">
        <v>23605</v>
      </c>
      <c r="E35" s="29">
        <v>24738</v>
      </c>
      <c r="F35" s="29">
        <v>15358</v>
      </c>
      <c r="G35" s="29">
        <v>27072</v>
      </c>
      <c r="H35" s="29">
        <v>13956</v>
      </c>
      <c r="I35" s="29">
        <v>21336</v>
      </c>
      <c r="J35" s="29">
        <v>21033</v>
      </c>
      <c r="K35" s="29">
        <v>11666</v>
      </c>
      <c r="L35" s="29">
        <v>14034</v>
      </c>
      <c r="M35" s="29">
        <f t="shared" si="44"/>
        <v>19731</v>
      </c>
      <c r="N35" s="29">
        <f t="shared" si="44"/>
        <v>22021</v>
      </c>
      <c r="O35" s="29">
        <f t="shared" si="38"/>
        <v>24736</v>
      </c>
      <c r="P35" s="29">
        <f t="shared" si="38"/>
        <v>24168</v>
      </c>
      <c r="Q35" s="29">
        <f t="shared" si="38"/>
        <v>24620</v>
      </c>
      <c r="R35" s="29">
        <f t="shared" si="38"/>
        <v>25075</v>
      </c>
      <c r="S35" s="29">
        <f t="shared" si="39"/>
        <v>29978</v>
      </c>
      <c r="T35" s="29">
        <f t="shared" si="45"/>
        <v>23978</v>
      </c>
      <c r="U35" s="29">
        <f t="shared" si="45"/>
        <v>24643</v>
      </c>
      <c r="V35" s="29">
        <f t="shared" si="46"/>
        <v>24134</v>
      </c>
      <c r="W35" s="29">
        <f t="shared" si="40"/>
        <v>26698.565420000003</v>
      </c>
      <c r="X35" s="29">
        <f t="shared" si="40"/>
        <v>36039.293590000008</v>
      </c>
      <c r="Y35" s="29">
        <f t="shared" si="40"/>
        <v>36094.073669999991</v>
      </c>
      <c r="Z35" s="29">
        <f t="shared" si="40"/>
        <v>39514.138050000001</v>
      </c>
      <c r="AA35" s="29">
        <f t="shared" si="41"/>
        <v>51756.258390000003</v>
      </c>
      <c r="AB35" s="29">
        <f t="shared" si="41"/>
        <v>41522.192609999998</v>
      </c>
      <c r="AC35" s="29">
        <f t="shared" si="41"/>
        <v>30272.995000000003</v>
      </c>
      <c r="AD35" s="29">
        <f t="shared" si="41"/>
        <v>29729.131000000001</v>
      </c>
      <c r="AE35" s="29">
        <f t="shared" si="41"/>
        <v>33774</v>
      </c>
      <c r="AF35" s="29">
        <f t="shared" si="41"/>
        <v>39472</v>
      </c>
      <c r="AG35" s="29">
        <f t="shared" si="41"/>
        <v>32788</v>
      </c>
      <c r="AH35" s="29">
        <f t="shared" si="41"/>
        <v>35754</v>
      </c>
      <c r="AI35" s="29">
        <f t="shared" si="41"/>
        <v>38672</v>
      </c>
      <c r="AJ35" s="29">
        <f t="shared" si="41"/>
        <v>38469</v>
      </c>
      <c r="AK35" s="29">
        <f t="shared" si="41"/>
        <v>39282</v>
      </c>
      <c r="AL35" s="29">
        <f t="shared" si="41"/>
        <v>46698</v>
      </c>
      <c r="AM35" s="29">
        <f t="shared" si="41"/>
        <v>46664</v>
      </c>
      <c r="AN35" s="29">
        <f t="shared" si="41"/>
        <v>45178</v>
      </c>
      <c r="AO35" s="29">
        <f t="shared" si="41"/>
        <v>32195</v>
      </c>
      <c r="AP35" s="29">
        <f t="shared" si="41"/>
        <v>31214</v>
      </c>
      <c r="AQ35" s="29">
        <f t="shared" si="42"/>
        <v>35557</v>
      </c>
      <c r="AR35" s="29">
        <f t="shared" si="42"/>
        <v>26613</v>
      </c>
      <c r="AS35" s="29">
        <f t="shared" si="42"/>
        <v>37556</v>
      </c>
      <c r="AT35" s="29">
        <f t="shared" ref="AT35" si="51">+AT9+AT22</f>
        <v>20751</v>
      </c>
      <c r="AU35" s="29">
        <f t="shared" si="43"/>
        <v>8634</v>
      </c>
    </row>
    <row r="36" spans="1:66" ht="24">
      <c r="A36" s="44" t="s">
        <v>29</v>
      </c>
      <c r="B36" s="52" t="s">
        <v>79</v>
      </c>
      <c r="C36" s="29">
        <v>21569</v>
      </c>
      <c r="D36" s="29">
        <v>20269</v>
      </c>
      <c r="E36" s="29">
        <v>21561</v>
      </c>
      <c r="F36" s="29">
        <v>20389</v>
      </c>
      <c r="G36" s="29">
        <v>22217</v>
      </c>
      <c r="H36" s="29">
        <v>28392</v>
      </c>
      <c r="I36" s="29">
        <v>22227</v>
      </c>
      <c r="J36" s="29">
        <v>14547</v>
      </c>
      <c r="K36" s="29">
        <v>14266</v>
      </c>
      <c r="L36" s="29">
        <v>17032</v>
      </c>
      <c r="M36" s="29">
        <f t="shared" si="44"/>
        <v>20989</v>
      </c>
      <c r="N36" s="29">
        <f t="shared" si="44"/>
        <v>21328</v>
      </c>
      <c r="O36" s="29">
        <f t="shared" si="38"/>
        <v>23562</v>
      </c>
      <c r="P36" s="29">
        <f t="shared" si="38"/>
        <v>22214</v>
      </c>
      <c r="Q36" s="29">
        <f t="shared" si="38"/>
        <v>21602</v>
      </c>
      <c r="R36" s="29">
        <f t="shared" si="38"/>
        <v>21834</v>
      </c>
      <c r="S36" s="29">
        <f t="shared" si="39"/>
        <v>17636</v>
      </c>
      <c r="T36" s="29">
        <f t="shared" si="45"/>
        <v>19126</v>
      </c>
      <c r="U36" s="29">
        <f t="shared" si="45"/>
        <v>18625</v>
      </c>
      <c r="V36" s="29">
        <f t="shared" si="46"/>
        <v>13228</v>
      </c>
      <c r="W36" s="29">
        <f t="shared" si="40"/>
        <v>14893.317499999999</v>
      </c>
      <c r="X36" s="29">
        <f t="shared" si="40"/>
        <v>15943.773600000002</v>
      </c>
      <c r="Y36" s="29">
        <f t="shared" si="40"/>
        <v>15362.571499999995</v>
      </c>
      <c r="Z36" s="29">
        <f t="shared" si="40"/>
        <v>14476.967400000001</v>
      </c>
      <c r="AA36" s="29">
        <f t="shared" si="41"/>
        <v>14431.624099999999</v>
      </c>
      <c r="AB36" s="29">
        <f t="shared" si="41"/>
        <v>14555.054700000002</v>
      </c>
      <c r="AC36" s="29">
        <f t="shared" si="41"/>
        <v>18615.659899999999</v>
      </c>
      <c r="AD36" s="29">
        <f t="shared" si="41"/>
        <v>18356.736500000006</v>
      </c>
      <c r="AE36" s="29">
        <f t="shared" si="41"/>
        <v>17153</v>
      </c>
      <c r="AF36" s="29">
        <f t="shared" si="41"/>
        <v>17664</v>
      </c>
      <c r="AG36" s="29">
        <f t="shared" si="41"/>
        <v>15062</v>
      </c>
      <c r="AH36" s="29">
        <f t="shared" si="41"/>
        <v>13997</v>
      </c>
      <c r="AI36" s="29">
        <f t="shared" si="41"/>
        <v>11351</v>
      </c>
      <c r="AJ36" s="29">
        <f t="shared" si="41"/>
        <v>9407</v>
      </c>
      <c r="AK36" s="29">
        <f t="shared" si="41"/>
        <v>7212</v>
      </c>
      <c r="AL36" s="29">
        <f t="shared" si="41"/>
        <v>6960</v>
      </c>
      <c r="AM36" s="29">
        <f t="shared" si="41"/>
        <v>6307</v>
      </c>
      <c r="AN36" s="29">
        <f t="shared" si="41"/>
        <v>6544</v>
      </c>
      <c r="AO36" s="29">
        <f t="shared" si="41"/>
        <v>6449</v>
      </c>
      <c r="AP36" s="29">
        <f t="shared" si="41"/>
        <v>6369</v>
      </c>
      <c r="AQ36" s="29">
        <f t="shared" si="42"/>
        <v>6867</v>
      </c>
      <c r="AR36" s="29">
        <f t="shared" si="42"/>
        <v>6969</v>
      </c>
      <c r="AS36" s="29">
        <f t="shared" si="42"/>
        <v>7247</v>
      </c>
      <c r="AT36" s="29">
        <f t="shared" ref="AT36" si="52">+AT10+AT23</f>
        <v>7168</v>
      </c>
      <c r="AU36" s="29">
        <f t="shared" si="43"/>
        <v>8159</v>
      </c>
    </row>
    <row r="37" spans="1:66">
      <c r="A37" s="44" t="s">
        <v>30</v>
      </c>
      <c r="B37" s="52" t="s">
        <v>80</v>
      </c>
      <c r="C37" s="29">
        <v>4765</v>
      </c>
      <c r="D37" s="29">
        <v>3706</v>
      </c>
      <c r="E37" s="29">
        <v>3663</v>
      </c>
      <c r="F37" s="29">
        <v>4114</v>
      </c>
      <c r="G37" s="29">
        <v>5756</v>
      </c>
      <c r="H37" s="29">
        <v>3558</v>
      </c>
      <c r="I37" s="29">
        <v>3748</v>
      </c>
      <c r="J37" s="29">
        <v>4017</v>
      </c>
      <c r="K37" s="29">
        <v>3573</v>
      </c>
      <c r="L37" s="29">
        <v>4148</v>
      </c>
      <c r="M37" s="29">
        <f t="shared" si="44"/>
        <v>4239</v>
      </c>
      <c r="N37" s="29">
        <f t="shared" si="44"/>
        <v>4757</v>
      </c>
      <c r="O37" s="29">
        <f t="shared" si="38"/>
        <v>4793</v>
      </c>
      <c r="P37" s="29">
        <f t="shared" si="38"/>
        <v>4172</v>
      </c>
      <c r="Q37" s="29">
        <f t="shared" si="38"/>
        <v>4063</v>
      </c>
      <c r="R37" s="29">
        <f t="shared" si="38"/>
        <v>5209</v>
      </c>
      <c r="S37" s="29">
        <f t="shared" si="39"/>
        <v>3979</v>
      </c>
      <c r="T37" s="29">
        <f t="shared" si="45"/>
        <v>3978</v>
      </c>
      <c r="U37" s="29">
        <f t="shared" si="45"/>
        <v>3489</v>
      </c>
      <c r="V37" s="29">
        <f t="shared" si="46"/>
        <v>3203</v>
      </c>
      <c r="W37" s="29">
        <f t="shared" si="40"/>
        <v>2949.6473000000001</v>
      </c>
      <c r="X37" s="29">
        <f t="shared" si="40"/>
        <v>2629.0479</v>
      </c>
      <c r="Y37" s="29">
        <f t="shared" si="40"/>
        <v>2692.2345999999989</v>
      </c>
      <c r="Z37" s="29">
        <f t="shared" si="40"/>
        <v>2829.5009000000018</v>
      </c>
      <c r="AA37" s="29">
        <f t="shared" si="41"/>
        <v>3636.6408000000006</v>
      </c>
      <c r="AB37" s="29">
        <f t="shared" si="41"/>
        <v>4254.3538000000008</v>
      </c>
      <c r="AC37" s="29">
        <f t="shared" si="41"/>
        <v>3873.0324999999975</v>
      </c>
      <c r="AD37" s="29">
        <f t="shared" si="41"/>
        <v>4074.1810200000014</v>
      </c>
      <c r="AE37" s="29">
        <f t="shared" si="41"/>
        <v>4195</v>
      </c>
      <c r="AF37" s="29">
        <f t="shared" si="41"/>
        <v>3380</v>
      </c>
      <c r="AG37" s="29">
        <f t="shared" si="41"/>
        <v>3008</v>
      </c>
      <c r="AH37" s="29">
        <f t="shared" si="41"/>
        <v>3589</v>
      </c>
      <c r="AI37" s="29">
        <f t="shared" si="41"/>
        <v>4139</v>
      </c>
      <c r="AJ37" s="29">
        <f t="shared" si="41"/>
        <v>2101</v>
      </c>
      <c r="AK37" s="29">
        <f t="shared" si="41"/>
        <v>3144</v>
      </c>
      <c r="AL37" s="29">
        <f t="shared" si="41"/>
        <v>2992</v>
      </c>
      <c r="AM37" s="29">
        <f t="shared" si="41"/>
        <v>2235</v>
      </c>
      <c r="AN37" s="29">
        <f t="shared" si="41"/>
        <v>2088</v>
      </c>
      <c r="AO37" s="29">
        <f t="shared" si="41"/>
        <v>2349</v>
      </c>
      <c r="AP37" s="29">
        <f t="shared" si="41"/>
        <v>2468</v>
      </c>
      <c r="AQ37" s="29">
        <f t="shared" si="42"/>
        <v>2780</v>
      </c>
      <c r="AR37" s="29">
        <f t="shared" si="42"/>
        <v>2601</v>
      </c>
      <c r="AS37" s="29">
        <f t="shared" si="42"/>
        <v>2731</v>
      </c>
      <c r="AT37" s="29">
        <f t="shared" ref="AT37" si="53">+AT11+AT24</f>
        <v>2668</v>
      </c>
      <c r="AU37" s="29">
        <f t="shared" si="43"/>
        <v>3291</v>
      </c>
    </row>
    <row r="38" spans="1:66" ht="24">
      <c r="A38" s="44" t="s">
        <v>31</v>
      </c>
      <c r="B38" s="52" t="s">
        <v>81</v>
      </c>
      <c r="C38" s="29">
        <v>19992</v>
      </c>
      <c r="D38" s="29">
        <v>19300</v>
      </c>
      <c r="E38" s="29">
        <v>19485</v>
      </c>
      <c r="F38" s="29">
        <v>18717</v>
      </c>
      <c r="G38" s="29">
        <v>19025</v>
      </c>
      <c r="H38" s="29">
        <v>20958</v>
      </c>
      <c r="I38" s="29">
        <v>20161</v>
      </c>
      <c r="J38" s="29">
        <v>19212</v>
      </c>
      <c r="K38" s="29">
        <v>17434</v>
      </c>
      <c r="L38" s="29">
        <v>17543</v>
      </c>
      <c r="M38" s="29">
        <f t="shared" si="44"/>
        <v>17830</v>
      </c>
      <c r="N38" s="29">
        <f t="shared" si="44"/>
        <v>18253</v>
      </c>
      <c r="O38" s="29">
        <f t="shared" si="38"/>
        <v>18792</v>
      </c>
      <c r="P38" s="29">
        <f t="shared" si="38"/>
        <v>20265</v>
      </c>
      <c r="Q38" s="29">
        <f t="shared" si="38"/>
        <v>21482</v>
      </c>
      <c r="R38" s="29">
        <f t="shared" si="38"/>
        <v>21794</v>
      </c>
      <c r="S38" s="29">
        <f t="shared" si="39"/>
        <v>21378</v>
      </c>
      <c r="T38" s="29">
        <f t="shared" si="45"/>
        <v>21075</v>
      </c>
      <c r="U38" s="29">
        <f t="shared" si="45"/>
        <v>19341</v>
      </c>
      <c r="V38" s="29">
        <f t="shared" si="46"/>
        <v>16801</v>
      </c>
      <c r="W38" s="29">
        <f t="shared" si="40"/>
        <v>16116.121799999999</v>
      </c>
      <c r="X38" s="29">
        <f t="shared" si="40"/>
        <v>16963.283200000002</v>
      </c>
      <c r="Y38" s="29">
        <f t="shared" si="40"/>
        <v>15987.410200000002</v>
      </c>
      <c r="Z38" s="29">
        <f t="shared" si="40"/>
        <v>16290.393799999987</v>
      </c>
      <c r="AA38" s="29">
        <f t="shared" si="41"/>
        <v>14497.685700000002</v>
      </c>
      <c r="AB38" s="29">
        <f t="shared" si="41"/>
        <v>12269.841699999997</v>
      </c>
      <c r="AC38" s="29">
        <f t="shared" si="41"/>
        <v>14159.761000000004</v>
      </c>
      <c r="AD38" s="29">
        <f t="shared" si="41"/>
        <v>15597.040700000003</v>
      </c>
      <c r="AE38" s="29">
        <f t="shared" si="41"/>
        <v>12504</v>
      </c>
      <c r="AF38" s="29">
        <f t="shared" si="41"/>
        <v>14732</v>
      </c>
      <c r="AG38" s="29">
        <f t="shared" si="41"/>
        <v>16380</v>
      </c>
      <c r="AH38" s="29">
        <f t="shared" si="41"/>
        <v>17399</v>
      </c>
      <c r="AI38" s="29">
        <f t="shared" si="41"/>
        <v>13440</v>
      </c>
      <c r="AJ38" s="29">
        <f t="shared" si="41"/>
        <v>10906</v>
      </c>
      <c r="AK38" s="29">
        <f t="shared" si="41"/>
        <v>10254</v>
      </c>
      <c r="AL38" s="29">
        <f t="shared" si="41"/>
        <v>9748</v>
      </c>
      <c r="AM38" s="29">
        <f t="shared" si="41"/>
        <v>11659</v>
      </c>
      <c r="AN38" s="29">
        <f t="shared" si="41"/>
        <v>12729</v>
      </c>
      <c r="AO38" s="29">
        <f t="shared" si="41"/>
        <v>14104</v>
      </c>
      <c r="AP38" s="29">
        <f t="shared" si="41"/>
        <v>14629</v>
      </c>
      <c r="AQ38" s="29">
        <f t="shared" si="42"/>
        <v>16073</v>
      </c>
      <c r="AR38" s="29">
        <f t="shared" si="42"/>
        <v>18050</v>
      </c>
      <c r="AS38" s="29">
        <f t="shared" si="42"/>
        <v>20359</v>
      </c>
      <c r="AT38" s="29">
        <f t="shared" ref="AT38" si="54">+AT12+AT25</f>
        <v>21852</v>
      </c>
      <c r="AU38" s="29">
        <f t="shared" si="43"/>
        <v>22494</v>
      </c>
    </row>
    <row r="39" spans="1:66" ht="12.5" thickBot="1">
      <c r="A39" s="44" t="s">
        <v>32</v>
      </c>
      <c r="B39" s="52" t="s">
        <v>82</v>
      </c>
      <c r="C39" s="29">
        <v>2068</v>
      </c>
      <c r="D39" s="29">
        <v>2224</v>
      </c>
      <c r="E39" s="29">
        <v>2048</v>
      </c>
      <c r="F39" s="29">
        <v>1782</v>
      </c>
      <c r="G39" s="29">
        <v>2386</v>
      </c>
      <c r="H39" s="29">
        <v>2326</v>
      </c>
      <c r="I39" s="29">
        <v>2191</v>
      </c>
      <c r="J39" s="29">
        <v>2469</v>
      </c>
      <c r="K39" s="29">
        <v>2270</v>
      </c>
      <c r="L39" s="29">
        <v>2030</v>
      </c>
      <c r="M39" s="29">
        <f t="shared" si="44"/>
        <v>2187</v>
      </c>
      <c r="N39" s="29">
        <f t="shared" si="44"/>
        <v>2299</v>
      </c>
      <c r="O39" s="29">
        <f t="shared" si="38"/>
        <v>2672</v>
      </c>
      <c r="P39" s="29">
        <f t="shared" si="38"/>
        <v>2630</v>
      </c>
      <c r="Q39" s="29">
        <f t="shared" si="38"/>
        <v>2748</v>
      </c>
      <c r="R39" s="29">
        <f t="shared" si="38"/>
        <v>2996</v>
      </c>
      <c r="S39" s="29">
        <f t="shared" si="39"/>
        <v>3667</v>
      </c>
      <c r="T39" s="29">
        <f t="shared" si="45"/>
        <v>2366</v>
      </c>
      <c r="U39" s="29">
        <f t="shared" si="45"/>
        <v>1670</v>
      </c>
      <c r="V39" s="29">
        <f t="shared" si="46"/>
        <v>2072</v>
      </c>
      <c r="W39" s="29">
        <f t="shared" si="40"/>
        <v>3520.8489100000338</v>
      </c>
      <c r="X39" s="29">
        <f t="shared" si="40"/>
        <v>2156.1268400003014</v>
      </c>
      <c r="Y39" s="29">
        <f t="shared" si="40"/>
        <v>1757.1029699998444</v>
      </c>
      <c r="Z39" s="29">
        <f t="shared" si="40"/>
        <v>-880.39181999977518</v>
      </c>
      <c r="AA39" s="29">
        <f t="shared" si="41"/>
        <v>2892.3723700000146</v>
      </c>
      <c r="AB39" s="29">
        <f t="shared" si="41"/>
        <v>2319.6158599997316</v>
      </c>
      <c r="AC39" s="29">
        <f t="shared" si="41"/>
        <v>2502.2648000002009</v>
      </c>
      <c r="AD39" s="29">
        <f t="shared" si="41"/>
        <v>2050.0433399998856</v>
      </c>
      <c r="AE39" s="29">
        <f t="shared" si="41"/>
        <v>1967</v>
      </c>
      <c r="AF39" s="29">
        <f t="shared" si="41"/>
        <v>148</v>
      </c>
      <c r="AG39" s="29">
        <f t="shared" si="41"/>
        <v>593</v>
      </c>
      <c r="AH39" s="29">
        <f t="shared" si="41"/>
        <v>441</v>
      </c>
      <c r="AI39" s="29">
        <f t="shared" si="41"/>
        <v>1154</v>
      </c>
      <c r="AJ39" s="29">
        <f t="shared" si="41"/>
        <v>-637</v>
      </c>
      <c r="AK39" s="29">
        <f t="shared" si="41"/>
        <v>-1513</v>
      </c>
      <c r="AL39" s="29">
        <f t="shared" si="41"/>
        <v>-1510</v>
      </c>
      <c r="AM39" s="29">
        <f t="shared" si="41"/>
        <v>-227</v>
      </c>
      <c r="AN39" s="29">
        <f t="shared" si="41"/>
        <v>1054</v>
      </c>
      <c r="AO39" s="29">
        <f t="shared" si="41"/>
        <v>-4378</v>
      </c>
      <c r="AP39" s="29">
        <f t="shared" si="41"/>
        <v>-2308</v>
      </c>
      <c r="AQ39" s="29">
        <f t="shared" si="42"/>
        <v>-442</v>
      </c>
      <c r="AR39" s="29">
        <f t="shared" si="42"/>
        <v>-1893</v>
      </c>
      <c r="AS39" s="29">
        <f t="shared" si="42"/>
        <v>-1148</v>
      </c>
      <c r="AT39" s="29">
        <f t="shared" ref="AT39" si="55">+AT13+AT26</f>
        <v>-563</v>
      </c>
      <c r="AU39" s="29">
        <f t="shared" si="43"/>
        <v>-116</v>
      </c>
    </row>
    <row r="40" spans="1:66" ht="12.5" thickBot="1">
      <c r="A40" s="48" t="s">
        <v>33</v>
      </c>
      <c r="B40" s="53" t="s">
        <v>83</v>
      </c>
      <c r="C40" s="2">
        <v>155495</v>
      </c>
      <c r="D40" s="2">
        <v>163089</v>
      </c>
      <c r="E40" s="2">
        <v>150890</v>
      </c>
      <c r="F40" s="2">
        <v>142199</v>
      </c>
      <c r="G40" s="2">
        <v>156750</v>
      </c>
      <c r="H40" s="2">
        <v>147389</v>
      </c>
      <c r="I40" s="2">
        <v>151587</v>
      </c>
      <c r="J40" s="2">
        <v>140447</v>
      </c>
      <c r="K40" s="2">
        <v>134352</v>
      </c>
      <c r="L40" s="2">
        <v>139784</v>
      </c>
      <c r="M40" s="2">
        <f t="shared" ref="M40:R40" si="56">SUM(M30:M39)</f>
        <v>150192</v>
      </c>
      <c r="N40" s="2">
        <f t="shared" si="56"/>
        <v>156696</v>
      </c>
      <c r="O40" s="2">
        <f t="shared" si="56"/>
        <v>166117</v>
      </c>
      <c r="P40" s="2">
        <f t="shared" si="56"/>
        <v>162518</v>
      </c>
      <c r="Q40" s="2">
        <f t="shared" si="56"/>
        <v>165538</v>
      </c>
      <c r="R40" s="2">
        <f t="shared" si="56"/>
        <v>169380</v>
      </c>
      <c r="S40" s="2">
        <v>172504</v>
      </c>
      <c r="T40" s="2">
        <f t="shared" ref="T40:V40" si="57">SUM(T30:T39)</f>
        <v>164083</v>
      </c>
      <c r="U40" s="2">
        <f t="shared" si="57"/>
        <v>162913</v>
      </c>
      <c r="V40" s="2">
        <f t="shared" si="57"/>
        <v>161569</v>
      </c>
      <c r="W40" s="2">
        <f t="shared" ref="W40:Y40" si="58">SUM(W30:W39)</f>
        <v>163174.05014000004</v>
      </c>
      <c r="X40" s="2">
        <f t="shared" si="58"/>
        <v>175024.62269000031</v>
      </c>
      <c r="Y40" s="2">
        <f t="shared" si="58"/>
        <v>178307.21890999979</v>
      </c>
      <c r="Z40" s="2">
        <f>SUM(Z30:Z39)</f>
        <v>182646.3583500002</v>
      </c>
      <c r="AA40" s="2">
        <f t="shared" ref="AA40:AQ40" si="59">SUM(AA30:AA39)</f>
        <v>194533.28559000001</v>
      </c>
      <c r="AB40" s="2">
        <f t="shared" si="59"/>
        <v>178995.44846999971</v>
      </c>
      <c r="AC40" s="2">
        <f t="shared" si="59"/>
        <v>179797.13823000022</v>
      </c>
      <c r="AD40" s="2">
        <f t="shared" si="59"/>
        <v>192729.9874499999</v>
      </c>
      <c r="AE40" s="2">
        <f t="shared" si="59"/>
        <v>204777</v>
      </c>
      <c r="AF40" s="2">
        <f t="shared" si="59"/>
        <v>209310</v>
      </c>
      <c r="AG40" s="2">
        <f t="shared" si="59"/>
        <v>201565</v>
      </c>
      <c r="AH40" s="2">
        <f t="shared" si="59"/>
        <v>214960</v>
      </c>
      <c r="AI40" s="2">
        <f t="shared" si="59"/>
        <v>220816</v>
      </c>
      <c r="AJ40" s="2">
        <f t="shared" si="59"/>
        <v>206122</v>
      </c>
      <c r="AK40" s="2">
        <f t="shared" si="59"/>
        <v>179370</v>
      </c>
      <c r="AL40" s="2">
        <f t="shared" si="59"/>
        <v>201997</v>
      </c>
      <c r="AM40" s="2">
        <f t="shared" si="59"/>
        <v>200932</v>
      </c>
      <c r="AN40" s="2">
        <f t="shared" si="59"/>
        <v>203020</v>
      </c>
      <c r="AO40" s="2">
        <f t="shared" si="59"/>
        <v>187958</v>
      </c>
      <c r="AP40" s="2">
        <f t="shared" si="59"/>
        <v>190475</v>
      </c>
      <c r="AQ40" s="2">
        <f t="shared" si="59"/>
        <v>199582</v>
      </c>
      <c r="AR40" s="2">
        <f>SUM(AR30:AR39)</f>
        <v>190539</v>
      </c>
      <c r="AS40" s="2">
        <f>SUM(AS30:AS39)</f>
        <v>198634</v>
      </c>
      <c r="AT40" s="2">
        <f>SUM(AT30:AT39)</f>
        <v>187943</v>
      </c>
      <c r="AU40" s="2">
        <f>SUM(AU30:AU39)</f>
        <v>182547</v>
      </c>
    </row>
    <row r="42" spans="1:66" ht="15.5">
      <c r="A42" s="39" t="s">
        <v>113</v>
      </c>
    </row>
    <row r="43" spans="1:66" ht="15.5">
      <c r="A43" s="39" t="s">
        <v>367</v>
      </c>
    </row>
    <row r="44" spans="1:66" s="117" customFormat="1" ht="24.5" thickBot="1">
      <c r="A44" s="98" t="s">
        <v>390</v>
      </c>
      <c r="B44" s="98" t="s">
        <v>97</v>
      </c>
      <c r="C44" s="115" t="s">
        <v>115</v>
      </c>
      <c r="D44" s="115" t="s">
        <v>118</v>
      </c>
      <c r="E44" s="115" t="s">
        <v>122</v>
      </c>
      <c r="F44" s="115" t="s">
        <v>137</v>
      </c>
      <c r="G44" s="115" t="s">
        <v>140</v>
      </c>
      <c r="H44" s="115" t="s">
        <v>159</v>
      </c>
      <c r="I44" s="115" t="s">
        <v>160</v>
      </c>
      <c r="J44" s="115" t="s">
        <v>163</v>
      </c>
      <c r="K44" s="115" t="s">
        <v>166</v>
      </c>
      <c r="L44" s="115" t="s">
        <v>170</v>
      </c>
      <c r="M44" s="115" t="s">
        <v>175</v>
      </c>
      <c r="N44" s="115" t="s">
        <v>176</v>
      </c>
      <c r="O44" s="115" t="s">
        <v>179</v>
      </c>
      <c r="P44" s="115" t="s">
        <v>181</v>
      </c>
      <c r="Q44" s="115" t="s">
        <v>184</v>
      </c>
      <c r="R44" s="115" t="s">
        <v>189</v>
      </c>
      <c r="S44" s="115" t="s">
        <v>192</v>
      </c>
      <c r="T44" s="115" t="s">
        <v>262</v>
      </c>
      <c r="U44" s="115" t="s">
        <v>300</v>
      </c>
      <c r="V44" s="115" t="s">
        <v>302</v>
      </c>
      <c r="W44" s="115" t="s">
        <v>306</v>
      </c>
      <c r="X44" s="115" t="s">
        <v>315</v>
      </c>
      <c r="Y44" s="115" t="s">
        <v>321</v>
      </c>
      <c r="Z44" s="115" t="s">
        <v>325</v>
      </c>
      <c r="AA44" s="115" t="s">
        <v>400</v>
      </c>
      <c r="AB44" s="115" t="s">
        <v>471</v>
      </c>
      <c r="AC44" s="115" t="s">
        <v>476</v>
      </c>
      <c r="AD44" s="115" t="s">
        <v>485</v>
      </c>
      <c r="AE44" s="115" t="s">
        <v>489</v>
      </c>
      <c r="AF44" s="115" t="s">
        <v>494</v>
      </c>
      <c r="AG44" s="115" t="s">
        <v>506</v>
      </c>
      <c r="AH44" s="115" t="s">
        <v>511</v>
      </c>
      <c r="AI44" s="115" t="s">
        <v>515</v>
      </c>
      <c r="AJ44" s="115" t="s">
        <v>522</v>
      </c>
      <c r="AK44" s="115" t="s">
        <v>528</v>
      </c>
      <c r="AL44" s="115" t="s">
        <v>532</v>
      </c>
      <c r="AM44" s="115" t="s">
        <v>547</v>
      </c>
      <c r="AN44" s="115" t="s">
        <v>647</v>
      </c>
      <c r="AO44" s="115" t="s">
        <v>651</v>
      </c>
      <c r="AP44" s="115" t="s">
        <v>662</v>
      </c>
      <c r="AQ44" s="115" t="s">
        <v>666</v>
      </c>
      <c r="AR44" s="115" t="s">
        <v>673</v>
      </c>
      <c r="AS44" s="115" t="s">
        <v>681</v>
      </c>
      <c r="AT44" s="115" t="s">
        <v>686</v>
      </c>
      <c r="AU44" s="115" t="s">
        <v>690</v>
      </c>
    </row>
    <row r="45" spans="1:66">
      <c r="A45" s="49" t="s">
        <v>24</v>
      </c>
      <c r="B45" s="51" t="s">
        <v>73</v>
      </c>
      <c r="C45" s="34">
        <v>23228</v>
      </c>
      <c r="D45" s="34">
        <v>46776</v>
      </c>
      <c r="E45" s="34">
        <v>70127</v>
      </c>
      <c r="F45" s="28">
        <v>92947</v>
      </c>
      <c r="G45" s="28">
        <v>21938</v>
      </c>
      <c r="H45" s="28">
        <v>43535</v>
      </c>
      <c r="I45" s="28">
        <v>66021</v>
      </c>
      <c r="J45" s="28">
        <v>86103</v>
      </c>
      <c r="K45" s="28">
        <v>19973</v>
      </c>
      <c r="L45" s="28">
        <v>40653</v>
      </c>
      <c r="M45" s="28">
        <v>60853</v>
      </c>
      <c r="N45" s="28">
        <v>81351</v>
      </c>
      <c r="O45" s="28">
        <v>19682</v>
      </c>
      <c r="P45" s="28">
        <v>39372</v>
      </c>
      <c r="Q45" s="28">
        <v>58052</v>
      </c>
      <c r="R45" s="28">
        <v>77713</v>
      </c>
      <c r="S45" s="28">
        <v>20547</v>
      </c>
      <c r="T45" s="28">
        <v>41404</v>
      </c>
      <c r="U45" s="28">
        <v>62167</v>
      </c>
      <c r="V45" s="28">
        <v>81036</v>
      </c>
      <c r="W45" s="28">
        <v>22737.745640000001</v>
      </c>
      <c r="X45" s="28">
        <v>45579.043579999998</v>
      </c>
      <c r="Y45" s="28">
        <v>69202.30949</v>
      </c>
      <c r="Z45" s="28">
        <v>92463.508959999992</v>
      </c>
      <c r="AA45" s="28">
        <v>24333.426350000002</v>
      </c>
      <c r="AB45" s="28">
        <v>47923.522369999999</v>
      </c>
      <c r="AC45" s="28">
        <v>75424.183310000008</v>
      </c>
      <c r="AD45" s="28">
        <v>102246.21102</v>
      </c>
      <c r="AE45" s="28">
        <v>39152</v>
      </c>
      <c r="AF45" s="28">
        <v>68579</v>
      </c>
      <c r="AG45" s="28">
        <v>99919</v>
      </c>
      <c r="AH45" s="28">
        <v>131476</v>
      </c>
      <c r="AI45" s="28">
        <v>40489</v>
      </c>
      <c r="AJ45" s="28">
        <v>73532</v>
      </c>
      <c r="AK45" s="28">
        <v>105745</v>
      </c>
      <c r="AL45" s="28">
        <v>137709</v>
      </c>
      <c r="AM45" s="28">
        <v>29624</v>
      </c>
      <c r="AN45" s="28">
        <v>59045</v>
      </c>
      <c r="AO45" s="28">
        <v>88333</v>
      </c>
      <c r="AP45" s="28">
        <v>117331</v>
      </c>
      <c r="AQ45" s="28">
        <v>27884</v>
      </c>
      <c r="AR45" s="28">
        <v>56258</v>
      </c>
      <c r="AS45" s="28">
        <v>84812</v>
      </c>
      <c r="AT45" s="28">
        <v>112750</v>
      </c>
      <c r="AU45" s="28">
        <v>27981</v>
      </c>
      <c r="AW45" s="15"/>
      <c r="BI45" s="14"/>
      <c r="BJ45" s="14"/>
      <c r="BK45" s="14"/>
      <c r="BL45" s="15"/>
      <c r="BM45" s="38"/>
      <c r="BN45" s="15"/>
    </row>
    <row r="46" spans="1:66" ht="36">
      <c r="A46" s="49" t="s">
        <v>34</v>
      </c>
      <c r="B46" s="52" t="s">
        <v>74</v>
      </c>
      <c r="C46" s="35">
        <v>11334</v>
      </c>
      <c r="D46" s="35">
        <v>22969</v>
      </c>
      <c r="E46" s="35">
        <v>34772</v>
      </c>
      <c r="F46" s="29">
        <v>46836</v>
      </c>
      <c r="G46" s="29">
        <v>11661</v>
      </c>
      <c r="H46" s="29">
        <v>24050</v>
      </c>
      <c r="I46" s="29">
        <v>36523</v>
      </c>
      <c r="J46" s="29">
        <v>49650</v>
      </c>
      <c r="K46" s="29">
        <v>12558</v>
      </c>
      <c r="L46" s="29">
        <v>26077</v>
      </c>
      <c r="M46" s="29">
        <v>39684</v>
      </c>
      <c r="N46" s="29">
        <v>53855</v>
      </c>
      <c r="O46" s="29">
        <v>13952</v>
      </c>
      <c r="P46" s="29">
        <v>29241</v>
      </c>
      <c r="Q46" s="29">
        <v>45545</v>
      </c>
      <c r="R46" s="29">
        <v>63194</v>
      </c>
      <c r="S46" s="29">
        <v>18594</v>
      </c>
      <c r="T46" s="29">
        <v>36912</v>
      </c>
      <c r="U46" s="29">
        <v>55041</v>
      </c>
      <c r="V46" s="29">
        <v>73682</v>
      </c>
      <c r="W46" s="29">
        <v>17343.137999999999</v>
      </c>
      <c r="X46" s="29">
        <v>35932.269999999997</v>
      </c>
      <c r="Y46" s="29">
        <v>54825.788</v>
      </c>
      <c r="Z46" s="29">
        <v>72606.160999999993</v>
      </c>
      <c r="AA46" s="29">
        <v>16471.522000000001</v>
      </c>
      <c r="AB46" s="29">
        <v>32310.467000000001</v>
      </c>
      <c r="AC46" s="29">
        <v>49958.1</v>
      </c>
      <c r="AD46" s="29">
        <v>67737.979000000007</v>
      </c>
      <c r="AE46" s="29">
        <v>18480</v>
      </c>
      <c r="AF46" s="29">
        <v>37724</v>
      </c>
      <c r="AG46" s="29">
        <v>57835</v>
      </c>
      <c r="AH46" s="29">
        <v>78916</v>
      </c>
      <c r="AI46" s="29">
        <v>21326</v>
      </c>
      <c r="AJ46" s="29">
        <v>44376</v>
      </c>
      <c r="AK46" s="29">
        <v>67550</v>
      </c>
      <c r="AL46" s="29">
        <v>91497</v>
      </c>
      <c r="AM46" s="29">
        <v>22817</v>
      </c>
      <c r="AN46" s="29">
        <v>46838</v>
      </c>
      <c r="AO46" s="29">
        <v>70704</v>
      </c>
      <c r="AP46" s="29">
        <v>94976</v>
      </c>
      <c r="AQ46" s="29">
        <v>23934</v>
      </c>
      <c r="AR46" s="29">
        <v>49616</v>
      </c>
      <c r="AS46" s="29">
        <v>75612</v>
      </c>
      <c r="AT46" s="29">
        <v>102097</v>
      </c>
      <c r="AU46" s="29">
        <v>25825</v>
      </c>
      <c r="AW46" s="15"/>
      <c r="BI46" s="14"/>
      <c r="BJ46" s="14"/>
      <c r="BK46" s="14"/>
      <c r="BL46" s="15"/>
      <c r="BM46" s="38"/>
      <c r="BN46" s="15"/>
    </row>
    <row r="47" spans="1:66">
      <c r="A47" s="49" t="s">
        <v>25</v>
      </c>
      <c r="B47" s="52" t="s">
        <v>75</v>
      </c>
      <c r="C47" s="35">
        <v>22959</v>
      </c>
      <c r="D47" s="35">
        <v>43752</v>
      </c>
      <c r="E47" s="35">
        <v>63558</v>
      </c>
      <c r="F47" s="29">
        <v>86409</v>
      </c>
      <c r="G47" s="29">
        <v>28398</v>
      </c>
      <c r="H47" s="29">
        <v>57770</v>
      </c>
      <c r="I47" s="29">
        <v>87939</v>
      </c>
      <c r="J47" s="29">
        <v>118365</v>
      </c>
      <c r="K47" s="29">
        <v>35420</v>
      </c>
      <c r="L47" s="29">
        <v>71138</v>
      </c>
      <c r="M47" s="29">
        <v>104681</v>
      </c>
      <c r="N47" s="29">
        <v>140449</v>
      </c>
      <c r="O47" s="29">
        <v>38715</v>
      </c>
      <c r="P47" s="29">
        <v>74936</v>
      </c>
      <c r="Q47" s="29">
        <v>112883</v>
      </c>
      <c r="R47" s="29">
        <v>153215</v>
      </c>
      <c r="S47" s="29">
        <v>41547</v>
      </c>
      <c r="T47" s="29">
        <v>81591</v>
      </c>
      <c r="U47" s="29">
        <v>121455</v>
      </c>
      <c r="V47" s="29">
        <v>166548</v>
      </c>
      <c r="W47" s="29">
        <v>40999.763980000003</v>
      </c>
      <c r="X47" s="29">
        <v>83773.985939999984</v>
      </c>
      <c r="Y47" s="29">
        <v>135393.16217999998</v>
      </c>
      <c r="Z47" s="29">
        <v>191931.84224999996</v>
      </c>
      <c r="AA47" s="29">
        <v>50317.006620000007</v>
      </c>
      <c r="AB47" s="29">
        <v>94675</v>
      </c>
      <c r="AC47" s="29">
        <v>140897</v>
      </c>
      <c r="AD47" s="29">
        <v>191340</v>
      </c>
      <c r="AE47" s="29">
        <v>50876</v>
      </c>
      <c r="AF47" s="29">
        <v>104627</v>
      </c>
      <c r="AG47" s="29">
        <v>156408</v>
      </c>
      <c r="AH47" s="29">
        <v>212472</v>
      </c>
      <c r="AI47" s="29">
        <v>59976</v>
      </c>
      <c r="AJ47" s="29">
        <v>116992</v>
      </c>
      <c r="AK47" s="29">
        <v>152916</v>
      </c>
      <c r="AL47" s="29">
        <v>203640</v>
      </c>
      <c r="AM47" s="29">
        <v>53358</v>
      </c>
      <c r="AN47" s="29">
        <v>102963</v>
      </c>
      <c r="AO47" s="29">
        <v>153843</v>
      </c>
      <c r="AP47" s="29">
        <v>208248</v>
      </c>
      <c r="AQ47" s="29">
        <v>53704</v>
      </c>
      <c r="AR47" s="29">
        <v>105143</v>
      </c>
      <c r="AS47" s="29">
        <v>153423</v>
      </c>
      <c r="AT47" s="29">
        <v>202855</v>
      </c>
      <c r="AU47" s="29">
        <v>49787</v>
      </c>
      <c r="AW47" s="15"/>
      <c r="BI47" s="14"/>
      <c r="BJ47" s="14"/>
      <c r="BK47" s="14"/>
      <c r="BL47" s="15"/>
      <c r="BM47" s="38"/>
      <c r="BN47" s="15"/>
    </row>
    <row r="48" spans="1:66">
      <c r="A48" s="49" t="s">
        <v>26</v>
      </c>
      <c r="B48" s="52" t="s">
        <v>76</v>
      </c>
      <c r="C48" s="35">
        <v>3602</v>
      </c>
      <c r="D48" s="35">
        <v>6722</v>
      </c>
      <c r="E48" s="35">
        <v>9713</v>
      </c>
      <c r="F48" s="29">
        <v>12779</v>
      </c>
      <c r="G48" s="29">
        <v>3576</v>
      </c>
      <c r="H48" s="29">
        <v>6595</v>
      </c>
      <c r="I48" s="29">
        <v>9497</v>
      </c>
      <c r="J48" s="29">
        <v>12517</v>
      </c>
      <c r="K48" s="29">
        <v>3748</v>
      </c>
      <c r="L48" s="29">
        <v>6669</v>
      </c>
      <c r="M48" s="29">
        <v>9286</v>
      </c>
      <c r="N48" s="29">
        <v>12261</v>
      </c>
      <c r="O48" s="29">
        <v>3640</v>
      </c>
      <c r="P48" s="29">
        <v>6539</v>
      </c>
      <c r="Q48" s="29">
        <v>9410</v>
      </c>
      <c r="R48" s="29">
        <v>12158</v>
      </c>
      <c r="S48" s="29">
        <v>3810</v>
      </c>
      <c r="T48" s="29">
        <v>7165</v>
      </c>
      <c r="U48" s="29">
        <v>10775</v>
      </c>
      <c r="V48" s="29">
        <v>15172</v>
      </c>
      <c r="W48" s="29">
        <v>3569.0448099999999</v>
      </c>
      <c r="X48" s="29">
        <v>6737.7462599999999</v>
      </c>
      <c r="Y48" s="29">
        <v>10261.76326</v>
      </c>
      <c r="Z48" s="29">
        <v>13790.09793</v>
      </c>
      <c r="AA48" s="29">
        <v>3759.0601299999998</v>
      </c>
      <c r="AB48" s="29">
        <v>6950.55825</v>
      </c>
      <c r="AC48" s="29">
        <v>10333.08546</v>
      </c>
      <c r="AD48" s="29">
        <v>13798.77382</v>
      </c>
      <c r="AE48" s="29">
        <v>3229</v>
      </c>
      <c r="AF48" s="29">
        <v>6659</v>
      </c>
      <c r="AG48" s="29">
        <v>9928</v>
      </c>
      <c r="AH48" s="29">
        <v>13425</v>
      </c>
      <c r="AI48" s="29">
        <v>3876</v>
      </c>
      <c r="AJ48" s="29">
        <v>7062</v>
      </c>
      <c r="AK48" s="29">
        <v>10463</v>
      </c>
      <c r="AL48" s="29">
        <v>14325</v>
      </c>
      <c r="AM48" s="29">
        <v>3809</v>
      </c>
      <c r="AN48" s="29">
        <v>7213</v>
      </c>
      <c r="AO48" s="29">
        <v>10825</v>
      </c>
      <c r="AP48" s="29">
        <v>14393</v>
      </c>
      <c r="AQ48" s="29">
        <v>3602</v>
      </c>
      <c r="AR48" s="29">
        <v>6870</v>
      </c>
      <c r="AS48" s="29">
        <v>10237</v>
      </c>
      <c r="AT48" s="29">
        <v>13698</v>
      </c>
      <c r="AU48" s="29">
        <v>3401</v>
      </c>
      <c r="AW48" s="15"/>
      <c r="BI48" s="14"/>
      <c r="BJ48" s="14"/>
      <c r="BK48" s="14"/>
      <c r="BL48" s="15"/>
      <c r="BM48" s="38"/>
      <c r="BN48" s="15"/>
    </row>
    <row r="49" spans="1:66">
      <c r="A49" s="49" t="s">
        <v>27</v>
      </c>
      <c r="B49" s="52" t="s">
        <v>77</v>
      </c>
      <c r="C49" s="35">
        <v>50299</v>
      </c>
      <c r="D49" s="35">
        <v>103991</v>
      </c>
      <c r="E49" s="35">
        <v>143526</v>
      </c>
      <c r="F49" s="29">
        <v>183017</v>
      </c>
      <c r="G49" s="29">
        <v>32451</v>
      </c>
      <c r="H49" s="29">
        <v>65871</v>
      </c>
      <c r="I49" s="29">
        <v>100395</v>
      </c>
      <c r="J49" s="29">
        <v>135059</v>
      </c>
      <c r="K49" s="29">
        <v>34377</v>
      </c>
      <c r="L49" s="29">
        <v>70867</v>
      </c>
      <c r="M49" s="29">
        <v>109628</v>
      </c>
      <c r="N49" s="29">
        <v>147816</v>
      </c>
      <c r="O49" s="29">
        <v>38042</v>
      </c>
      <c r="P49" s="29">
        <v>78659</v>
      </c>
      <c r="Q49" s="29">
        <v>120657</v>
      </c>
      <c r="R49" s="29">
        <v>162080</v>
      </c>
      <c r="S49" s="29">
        <v>40386</v>
      </c>
      <c r="T49" s="29">
        <v>83895</v>
      </c>
      <c r="U49" s="29">
        <v>129976</v>
      </c>
      <c r="V49" s="29">
        <v>177744</v>
      </c>
      <c r="W49" s="29">
        <v>44275.826000000001</v>
      </c>
      <c r="X49" s="29">
        <v>94060.964229999998</v>
      </c>
      <c r="Y49" s="29">
        <v>151007.08687999999</v>
      </c>
      <c r="Z49" s="29">
        <v>205822.62187999999</v>
      </c>
      <c r="AA49" s="29">
        <v>53979.125999999997</v>
      </c>
      <c r="AB49" s="29">
        <v>104258.59699999999</v>
      </c>
      <c r="AC49" s="29">
        <v>161292.16099999999</v>
      </c>
      <c r="AD49" s="29">
        <v>221085.74100000001</v>
      </c>
      <c r="AE49" s="29">
        <v>51735</v>
      </c>
      <c r="AF49" s="29">
        <v>108826</v>
      </c>
      <c r="AG49" s="29">
        <v>172712</v>
      </c>
      <c r="AH49" s="29">
        <v>235579</v>
      </c>
      <c r="AI49" s="29">
        <v>60960</v>
      </c>
      <c r="AJ49" s="29">
        <v>128479</v>
      </c>
      <c r="AK49" s="29">
        <v>199744</v>
      </c>
      <c r="AL49" s="29">
        <v>268501</v>
      </c>
      <c r="AM49" s="29">
        <v>68902</v>
      </c>
      <c r="AN49" s="29">
        <v>142622</v>
      </c>
      <c r="AO49" s="29">
        <v>219737</v>
      </c>
      <c r="AP49" s="29">
        <v>293979</v>
      </c>
      <c r="AQ49" s="29">
        <v>75085</v>
      </c>
      <c r="AR49" s="29">
        <v>154989</v>
      </c>
      <c r="AS49" s="29">
        <v>237179</v>
      </c>
      <c r="AT49" s="29">
        <v>317104</v>
      </c>
      <c r="AU49" s="29">
        <v>79004</v>
      </c>
      <c r="AW49" s="15"/>
      <c r="BI49" s="14"/>
      <c r="BJ49" s="14"/>
      <c r="BK49" s="14"/>
      <c r="BL49" s="15"/>
      <c r="BM49" s="38"/>
      <c r="BN49" s="15"/>
    </row>
    <row r="50" spans="1:66">
      <c r="A50" s="49" t="s">
        <v>28</v>
      </c>
      <c r="B50" s="52" t="s">
        <v>78</v>
      </c>
      <c r="C50" s="35">
        <v>12465</v>
      </c>
      <c r="D50" s="35">
        <v>36070</v>
      </c>
      <c r="E50" s="35">
        <v>60808</v>
      </c>
      <c r="F50" s="29">
        <v>76166</v>
      </c>
      <c r="G50" s="29">
        <v>27072</v>
      </c>
      <c r="H50" s="29">
        <v>41028</v>
      </c>
      <c r="I50" s="29">
        <v>62364</v>
      </c>
      <c r="J50" s="29">
        <v>83397</v>
      </c>
      <c r="K50" s="29">
        <v>11666</v>
      </c>
      <c r="L50" s="29">
        <v>25700</v>
      </c>
      <c r="M50" s="29">
        <v>45431</v>
      </c>
      <c r="N50" s="29">
        <v>67452</v>
      </c>
      <c r="O50" s="29">
        <v>24736</v>
      </c>
      <c r="P50" s="29">
        <v>48903</v>
      </c>
      <c r="Q50" s="29">
        <v>73523</v>
      </c>
      <c r="R50" s="29">
        <v>98598</v>
      </c>
      <c r="S50" s="29">
        <v>29978</v>
      </c>
      <c r="T50" s="29">
        <v>53956</v>
      </c>
      <c r="U50" s="29">
        <v>78599</v>
      </c>
      <c r="V50" s="29">
        <v>102733</v>
      </c>
      <c r="W50" s="29">
        <v>29715.326420000001</v>
      </c>
      <c r="X50" s="29">
        <v>69811.474010000005</v>
      </c>
      <c r="Y50" s="29">
        <v>109548.26867999999</v>
      </c>
      <c r="Z50" s="29">
        <v>148394.47672999999</v>
      </c>
      <c r="AA50" s="29">
        <v>55542.415390000002</v>
      </c>
      <c r="AB50" s="29">
        <v>100852</v>
      </c>
      <c r="AC50" s="29">
        <v>136418</v>
      </c>
      <c r="AD50" s="29">
        <v>169721</v>
      </c>
      <c r="AE50" s="29">
        <v>38710</v>
      </c>
      <c r="AF50" s="29">
        <v>82888</v>
      </c>
      <c r="AG50" s="29">
        <v>118555</v>
      </c>
      <c r="AH50" s="29">
        <v>156824</v>
      </c>
      <c r="AI50" s="29">
        <v>41136</v>
      </c>
      <c r="AJ50" s="29">
        <v>83574</v>
      </c>
      <c r="AK50" s="29">
        <v>125419</v>
      </c>
      <c r="AL50" s="29">
        <v>174667</v>
      </c>
      <c r="AM50" s="29">
        <v>48854</v>
      </c>
      <c r="AN50" s="29">
        <v>97475</v>
      </c>
      <c r="AO50" s="29">
        <v>131733</v>
      </c>
      <c r="AP50" s="29">
        <v>164769</v>
      </c>
      <c r="AQ50" s="29">
        <v>37319</v>
      </c>
      <c r="AR50" s="29">
        <v>67229</v>
      </c>
      <c r="AS50" s="29">
        <v>106419</v>
      </c>
      <c r="AT50" s="29">
        <v>128757</v>
      </c>
      <c r="AU50" s="29">
        <v>11143</v>
      </c>
      <c r="AW50" s="15"/>
      <c r="BI50" s="14"/>
      <c r="BJ50" s="14"/>
      <c r="BK50" s="14"/>
      <c r="BL50" s="15"/>
      <c r="BM50" s="38"/>
      <c r="BN50" s="15"/>
    </row>
    <row r="51" spans="1:66" ht="24">
      <c r="A51" s="49" t="s">
        <v>29</v>
      </c>
      <c r="B51" s="52" t="s">
        <v>79</v>
      </c>
      <c r="C51" s="35">
        <v>21569</v>
      </c>
      <c r="D51" s="35">
        <v>41838</v>
      </c>
      <c r="E51" s="35">
        <v>63399</v>
      </c>
      <c r="F51" s="29">
        <v>83788</v>
      </c>
      <c r="G51" s="29">
        <v>22217</v>
      </c>
      <c r="H51" s="29">
        <v>50609</v>
      </c>
      <c r="I51" s="29">
        <v>72836</v>
      </c>
      <c r="J51" s="29">
        <v>87383</v>
      </c>
      <c r="K51" s="29">
        <v>14266</v>
      </c>
      <c r="L51" s="29">
        <v>31298</v>
      </c>
      <c r="M51" s="29">
        <v>52287</v>
      </c>
      <c r="N51" s="29">
        <v>73615</v>
      </c>
      <c r="O51" s="29">
        <v>23562</v>
      </c>
      <c r="P51" s="29">
        <v>45776</v>
      </c>
      <c r="Q51" s="29">
        <v>67378</v>
      </c>
      <c r="R51" s="29">
        <v>89212</v>
      </c>
      <c r="S51" s="29">
        <v>17636</v>
      </c>
      <c r="T51" s="29">
        <v>36762</v>
      </c>
      <c r="U51" s="29">
        <v>55387</v>
      </c>
      <c r="V51" s="29">
        <v>68615</v>
      </c>
      <c r="W51" s="29">
        <v>14893.317499999999</v>
      </c>
      <c r="X51" s="29">
        <v>30837.091100000001</v>
      </c>
      <c r="Y51" s="29">
        <v>46199.662599999996</v>
      </c>
      <c r="Z51" s="29">
        <v>60676.63</v>
      </c>
      <c r="AA51" s="29">
        <v>14431.624099999999</v>
      </c>
      <c r="AB51" s="29">
        <v>28986.678800000002</v>
      </c>
      <c r="AC51" s="29">
        <v>47602.3387</v>
      </c>
      <c r="AD51" s="29">
        <v>65959.075200000007</v>
      </c>
      <c r="AE51" s="29">
        <v>17153</v>
      </c>
      <c r="AF51" s="29">
        <v>34817</v>
      </c>
      <c r="AG51" s="29">
        <v>49879</v>
      </c>
      <c r="AH51" s="29">
        <v>63876</v>
      </c>
      <c r="AI51" s="29">
        <v>11351</v>
      </c>
      <c r="AJ51" s="29">
        <v>20758</v>
      </c>
      <c r="AK51" s="29">
        <v>27970</v>
      </c>
      <c r="AL51" s="29">
        <v>34930</v>
      </c>
      <c r="AM51" s="29">
        <v>6307</v>
      </c>
      <c r="AN51" s="29">
        <v>12851</v>
      </c>
      <c r="AO51" s="29">
        <v>19300</v>
      </c>
      <c r="AP51" s="29">
        <v>25669</v>
      </c>
      <c r="AQ51" s="29">
        <v>6867</v>
      </c>
      <c r="AR51" s="29">
        <v>13836</v>
      </c>
      <c r="AS51" s="29">
        <v>21083</v>
      </c>
      <c r="AT51" s="29">
        <v>28251</v>
      </c>
      <c r="AU51" s="29">
        <v>8159</v>
      </c>
      <c r="AW51" s="15"/>
      <c r="BI51" s="14"/>
      <c r="BJ51" s="14"/>
      <c r="BK51" s="14"/>
      <c r="BL51" s="15"/>
      <c r="BM51" s="38"/>
      <c r="BN51" s="15"/>
    </row>
    <row r="52" spans="1:66">
      <c r="A52" s="49" t="s">
        <v>30</v>
      </c>
      <c r="B52" s="52" t="s">
        <v>80</v>
      </c>
      <c r="C52" s="35">
        <v>5717</v>
      </c>
      <c r="D52" s="35">
        <v>10199</v>
      </c>
      <c r="E52" s="35">
        <v>14753</v>
      </c>
      <c r="F52" s="29">
        <v>19614</v>
      </c>
      <c r="G52" s="29">
        <v>6544</v>
      </c>
      <c r="H52" s="29">
        <v>10864</v>
      </c>
      <c r="I52" s="29">
        <v>15462</v>
      </c>
      <c r="J52" s="29">
        <v>20465</v>
      </c>
      <c r="K52" s="29">
        <v>4387</v>
      </c>
      <c r="L52" s="29">
        <v>9390</v>
      </c>
      <c r="M52" s="29">
        <v>14469</v>
      </c>
      <c r="N52" s="29">
        <v>20314</v>
      </c>
      <c r="O52" s="29">
        <v>5847</v>
      </c>
      <c r="P52" s="29">
        <v>10892</v>
      </c>
      <c r="Q52" s="29">
        <v>15745</v>
      </c>
      <c r="R52" s="29">
        <v>21750</v>
      </c>
      <c r="S52" s="29">
        <v>4884</v>
      </c>
      <c r="T52" s="29">
        <v>9671</v>
      </c>
      <c r="U52" s="29">
        <v>13906</v>
      </c>
      <c r="V52" s="29">
        <v>17760</v>
      </c>
      <c r="W52" s="29">
        <v>3576.8579</v>
      </c>
      <c r="X52" s="29">
        <v>6754.6534000000001</v>
      </c>
      <c r="Y52" s="29">
        <v>9984.3740999999991</v>
      </c>
      <c r="Z52" s="29">
        <v>13362.008400000001</v>
      </c>
      <c r="AA52" s="29">
        <v>4430.9113000000007</v>
      </c>
      <c r="AB52" s="29">
        <v>9462.4268000000011</v>
      </c>
      <c r="AC52" s="29">
        <v>14219.514499999999</v>
      </c>
      <c r="AD52" s="29">
        <v>19159.4434</v>
      </c>
      <c r="AE52" s="29">
        <v>5070</v>
      </c>
      <c r="AF52" s="29">
        <v>9257</v>
      </c>
      <c r="AG52" s="29">
        <v>12939</v>
      </c>
      <c r="AH52" s="29">
        <v>17259</v>
      </c>
      <c r="AI52" s="29">
        <v>5002</v>
      </c>
      <c r="AJ52" s="29">
        <v>7699</v>
      </c>
      <c r="AK52" s="29">
        <v>11538</v>
      </c>
      <c r="AL52" s="29">
        <v>15384</v>
      </c>
      <c r="AM52" s="29">
        <v>2808</v>
      </c>
      <c r="AN52" s="29">
        <v>5425</v>
      </c>
      <c r="AO52" s="29">
        <v>8270</v>
      </c>
      <c r="AP52" s="29">
        <v>11373</v>
      </c>
      <c r="AQ52" s="29">
        <v>3367</v>
      </c>
      <c r="AR52" s="29">
        <v>6776</v>
      </c>
      <c r="AS52" s="29">
        <v>10157</v>
      </c>
      <c r="AT52" s="29">
        <v>13375</v>
      </c>
      <c r="AU52" s="29">
        <v>4248</v>
      </c>
      <c r="AW52" s="15"/>
      <c r="BI52" s="14"/>
      <c r="BJ52" s="14"/>
      <c r="BK52" s="14"/>
      <c r="BL52" s="15"/>
      <c r="BM52" s="38"/>
      <c r="BN52" s="15"/>
    </row>
    <row r="53" spans="1:66" ht="24">
      <c r="A53" s="49" t="s">
        <v>31</v>
      </c>
      <c r="B53" s="52" t="s">
        <v>81</v>
      </c>
      <c r="C53" s="35">
        <v>20823</v>
      </c>
      <c r="D53" s="35">
        <v>41434</v>
      </c>
      <c r="E53" s="35">
        <v>62050</v>
      </c>
      <c r="F53" s="29">
        <v>82433</v>
      </c>
      <c r="G53" s="29">
        <v>20487</v>
      </c>
      <c r="H53" s="29">
        <v>43365</v>
      </c>
      <c r="I53" s="29">
        <v>65610</v>
      </c>
      <c r="J53" s="29">
        <v>86955</v>
      </c>
      <c r="K53" s="29">
        <v>19587</v>
      </c>
      <c r="L53" s="29">
        <v>39364</v>
      </c>
      <c r="M53" s="29">
        <v>59298</v>
      </c>
      <c r="N53" s="29">
        <v>79727</v>
      </c>
      <c r="O53" s="29">
        <v>21030</v>
      </c>
      <c r="P53" s="29">
        <v>43907</v>
      </c>
      <c r="Q53" s="29">
        <v>68088</v>
      </c>
      <c r="R53" s="29">
        <v>92576</v>
      </c>
      <c r="S53" s="29">
        <v>24013</v>
      </c>
      <c r="T53" s="29">
        <v>47617</v>
      </c>
      <c r="U53" s="29">
        <v>69135</v>
      </c>
      <c r="V53" s="29">
        <v>88116</v>
      </c>
      <c r="W53" s="29">
        <v>18341.309799999999</v>
      </c>
      <c r="X53" s="29">
        <v>37452.150099999999</v>
      </c>
      <c r="Y53" s="29">
        <v>56640.9303</v>
      </c>
      <c r="Z53" s="29">
        <v>75666.135899999994</v>
      </c>
      <c r="AA53" s="29">
        <v>17565.199000000001</v>
      </c>
      <c r="AB53" s="29">
        <v>32177.4614</v>
      </c>
      <c r="AC53" s="29">
        <v>48875.814400000003</v>
      </c>
      <c r="AD53" s="29">
        <v>66941.238200000007</v>
      </c>
      <c r="AE53" s="29">
        <v>15189</v>
      </c>
      <c r="AF53" s="29">
        <v>32608</v>
      </c>
      <c r="AG53" s="29">
        <v>52134</v>
      </c>
      <c r="AH53" s="29">
        <v>72690</v>
      </c>
      <c r="AI53" s="29">
        <v>16433</v>
      </c>
      <c r="AJ53" s="29">
        <v>30180</v>
      </c>
      <c r="AK53" s="29">
        <v>43042</v>
      </c>
      <c r="AL53" s="29">
        <v>55264</v>
      </c>
      <c r="AM53" s="29">
        <v>14241</v>
      </c>
      <c r="AN53" s="29">
        <v>29746</v>
      </c>
      <c r="AO53" s="29">
        <v>46636</v>
      </c>
      <c r="AP53" s="29">
        <v>64235</v>
      </c>
      <c r="AQ53" s="29">
        <v>19248</v>
      </c>
      <c r="AR53" s="29">
        <v>40405</v>
      </c>
      <c r="AS53" s="29">
        <v>64023</v>
      </c>
      <c r="AT53" s="29">
        <v>89769</v>
      </c>
      <c r="AU53" s="29">
        <v>26711</v>
      </c>
      <c r="AW53" s="15"/>
      <c r="BI53" s="14"/>
      <c r="BJ53" s="14"/>
      <c r="BK53" s="14"/>
      <c r="BL53" s="15"/>
      <c r="BM53" s="38"/>
      <c r="BN53" s="15"/>
    </row>
    <row r="54" spans="1:66" ht="12.5" thickBot="1">
      <c r="A54" s="49" t="s">
        <v>32</v>
      </c>
      <c r="B54" s="52" t="s">
        <v>82</v>
      </c>
      <c r="C54" s="36">
        <v>2843</v>
      </c>
      <c r="D54" s="36">
        <v>5675</v>
      </c>
      <c r="E54" s="36">
        <v>8529</v>
      </c>
      <c r="F54" s="29">
        <v>11332</v>
      </c>
      <c r="G54" s="29">
        <v>3470</v>
      </c>
      <c r="H54" s="29">
        <v>7296</v>
      </c>
      <c r="I54" s="29">
        <v>10721</v>
      </c>
      <c r="J54" s="29">
        <v>16386</v>
      </c>
      <c r="K54" s="29">
        <v>5400</v>
      </c>
      <c r="L54" s="29">
        <v>9167</v>
      </c>
      <c r="M54" s="29">
        <v>13945</v>
      </c>
      <c r="N54" s="29">
        <v>21167</v>
      </c>
      <c r="O54" s="29">
        <v>6892</v>
      </c>
      <c r="P54" s="29">
        <v>14037</v>
      </c>
      <c r="Q54" s="29">
        <v>22045</v>
      </c>
      <c r="R54" s="29">
        <v>28792</v>
      </c>
      <c r="S54" s="29">
        <v>7807</v>
      </c>
      <c r="T54" s="29">
        <v>15588</v>
      </c>
      <c r="U54" s="29">
        <v>23467</v>
      </c>
      <c r="V54" s="29">
        <v>32839</v>
      </c>
      <c r="W54" s="29">
        <v>6078.0259500000384</v>
      </c>
      <c r="X54" s="29">
        <v>11886.784700000326</v>
      </c>
      <c r="Y54" s="29">
        <v>18034.673410000196</v>
      </c>
      <c r="Z54" s="29">
        <v>25173.521630000545</v>
      </c>
      <c r="AA54" s="29">
        <v>6838.6210300000257</v>
      </c>
      <c r="AB54" s="29">
        <v>14107.15481999972</v>
      </c>
      <c r="AC54" s="29">
        <v>21846.611449999949</v>
      </c>
      <c r="AD54" s="29">
        <v>29424.437979999817</v>
      </c>
      <c r="AE54" s="29">
        <v>6400</v>
      </c>
      <c r="AF54" s="29">
        <v>13864</v>
      </c>
      <c r="AG54" s="29">
        <v>21437</v>
      </c>
      <c r="AH54" s="29">
        <v>29733</v>
      </c>
      <c r="AI54" s="29">
        <v>7358</v>
      </c>
      <c r="AJ54" s="29">
        <v>15753</v>
      </c>
      <c r="AK54" s="29">
        <v>23875</v>
      </c>
      <c r="AL54" s="29">
        <v>31828</v>
      </c>
      <c r="AM54" s="29">
        <v>9928</v>
      </c>
      <c r="AN54" s="29">
        <v>20421</v>
      </c>
      <c r="AO54" s="29">
        <v>31000</v>
      </c>
      <c r="AP54" s="29">
        <v>42162</v>
      </c>
      <c r="AQ54" s="29">
        <v>11412</v>
      </c>
      <c r="AR54" s="29">
        <v>23449</v>
      </c>
      <c r="AS54" s="29">
        <v>36297</v>
      </c>
      <c r="AT54" s="29">
        <v>49663</v>
      </c>
      <c r="AU54" s="29">
        <v>13216</v>
      </c>
      <c r="AW54" s="15"/>
      <c r="BI54" s="14"/>
      <c r="BJ54" s="14"/>
      <c r="BK54" s="14"/>
      <c r="BL54" s="15"/>
      <c r="BM54" s="38"/>
      <c r="BN54" s="15"/>
    </row>
    <row r="55" spans="1:66" ht="12.5" thickBot="1">
      <c r="A55" s="50" t="s">
        <v>33</v>
      </c>
      <c r="B55" s="53" t="s">
        <v>83</v>
      </c>
      <c r="C55" s="2">
        <f t="shared" ref="C55:K55" si="60">SUM(C45:C54)</f>
        <v>174839</v>
      </c>
      <c r="D55" s="2">
        <f t="shared" si="60"/>
        <v>359426</v>
      </c>
      <c r="E55" s="2">
        <f t="shared" si="60"/>
        <v>531235</v>
      </c>
      <c r="F55" s="2">
        <f t="shared" si="60"/>
        <v>695321</v>
      </c>
      <c r="G55" s="2">
        <f t="shared" si="60"/>
        <v>177814</v>
      </c>
      <c r="H55" s="2">
        <f t="shared" si="60"/>
        <v>350983</v>
      </c>
      <c r="I55" s="2">
        <f t="shared" si="60"/>
        <v>527368</v>
      </c>
      <c r="J55" s="2">
        <f t="shared" si="60"/>
        <v>696280</v>
      </c>
      <c r="K55" s="2">
        <f t="shared" si="60"/>
        <v>161382</v>
      </c>
      <c r="L55" s="2">
        <f t="shared" ref="L55:Q55" si="61">SUM(L45:L54)</f>
        <v>330323</v>
      </c>
      <c r="M55" s="2">
        <f t="shared" si="61"/>
        <v>509562</v>
      </c>
      <c r="N55" s="2">
        <f t="shared" si="61"/>
        <v>698007</v>
      </c>
      <c r="O55" s="2">
        <f t="shared" si="61"/>
        <v>196098</v>
      </c>
      <c r="P55" s="2">
        <f t="shared" si="61"/>
        <v>392262</v>
      </c>
      <c r="Q55" s="2">
        <f t="shared" si="61"/>
        <v>593326</v>
      </c>
      <c r="R55" s="2">
        <f t="shared" ref="R55:V55" si="62">SUM(R45:R54)</f>
        <v>799288</v>
      </c>
      <c r="S55" s="2">
        <f t="shared" si="62"/>
        <v>209202</v>
      </c>
      <c r="T55" s="2">
        <f t="shared" si="62"/>
        <v>414561</v>
      </c>
      <c r="U55" s="2">
        <f t="shared" si="62"/>
        <v>619908</v>
      </c>
      <c r="V55" s="2">
        <f t="shared" si="62"/>
        <v>824245</v>
      </c>
      <c r="W55" s="2">
        <f t="shared" ref="W55:AS55" si="63">SUM(W45:W54)</f>
        <v>201530.35600000006</v>
      </c>
      <c r="X55" s="2">
        <f t="shared" si="63"/>
        <v>422826.16332000028</v>
      </c>
      <c r="Y55" s="2">
        <f t="shared" si="63"/>
        <v>661098.01890000014</v>
      </c>
      <c r="Z55" s="2">
        <f t="shared" si="63"/>
        <v>899887.00468000059</v>
      </c>
      <c r="AA55" s="2">
        <f t="shared" si="63"/>
        <v>247668.91192000004</v>
      </c>
      <c r="AB55" s="2">
        <f t="shared" si="63"/>
        <v>471703.86643999966</v>
      </c>
      <c r="AC55" s="2">
        <f t="shared" si="63"/>
        <v>706866.80881999992</v>
      </c>
      <c r="AD55" s="2">
        <f t="shared" si="63"/>
        <v>947413.89961999981</v>
      </c>
      <c r="AE55" s="2">
        <f t="shared" si="63"/>
        <v>245994</v>
      </c>
      <c r="AF55" s="2">
        <f t="shared" si="63"/>
        <v>499849</v>
      </c>
      <c r="AG55" s="2">
        <f t="shared" si="63"/>
        <v>751746</v>
      </c>
      <c r="AH55" s="2">
        <f t="shared" si="63"/>
        <v>1012250</v>
      </c>
      <c r="AI55" s="2">
        <f t="shared" si="63"/>
        <v>267907</v>
      </c>
      <c r="AJ55" s="2">
        <f t="shared" si="63"/>
        <v>528405</v>
      </c>
      <c r="AK55" s="2">
        <f t="shared" si="63"/>
        <v>768262</v>
      </c>
      <c r="AL55" s="2">
        <f t="shared" si="63"/>
        <v>1027745</v>
      </c>
      <c r="AM55" s="2">
        <f t="shared" si="63"/>
        <v>260648</v>
      </c>
      <c r="AN55" s="2">
        <f t="shared" si="63"/>
        <v>524599</v>
      </c>
      <c r="AO55" s="2">
        <f t="shared" si="63"/>
        <v>780381</v>
      </c>
      <c r="AP55" s="2">
        <f t="shared" si="63"/>
        <v>1037135</v>
      </c>
      <c r="AQ55" s="2">
        <f t="shared" si="63"/>
        <v>262422</v>
      </c>
      <c r="AR55" s="2">
        <f t="shared" si="63"/>
        <v>524571</v>
      </c>
      <c r="AS55" s="2">
        <f t="shared" si="63"/>
        <v>799242</v>
      </c>
      <c r="AT55" s="2">
        <f t="shared" ref="AT55:AU55" si="64">SUM(AT45:AT54)</f>
        <v>1058319</v>
      </c>
      <c r="AU55" s="2">
        <f t="shared" si="64"/>
        <v>249475</v>
      </c>
      <c r="AW55" s="15"/>
      <c r="BI55" s="14"/>
      <c r="BJ55" s="14"/>
      <c r="BK55" s="14"/>
      <c r="BL55" s="15"/>
      <c r="BM55" s="38"/>
      <c r="BN55" s="15"/>
    </row>
    <row r="56" spans="1:66">
      <c r="A56" s="5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1:66" s="117" customFormat="1" ht="24.5" thickBot="1">
      <c r="A57" s="98" t="s">
        <v>393</v>
      </c>
      <c r="B57" s="98" t="s">
        <v>98</v>
      </c>
      <c r="C57" s="115" t="s">
        <v>115</v>
      </c>
      <c r="D57" s="115" t="s">
        <v>118</v>
      </c>
      <c r="E57" s="115" t="s">
        <v>122</v>
      </c>
      <c r="F57" s="115" t="s">
        <v>137</v>
      </c>
      <c r="G57" s="115" t="s">
        <v>140</v>
      </c>
      <c r="H57" s="115" t="s">
        <v>159</v>
      </c>
      <c r="I57" s="115" t="s">
        <v>160</v>
      </c>
      <c r="J57" s="115" t="s">
        <v>163</v>
      </c>
      <c r="K57" s="115" t="s">
        <v>166</v>
      </c>
      <c r="L57" s="115" t="s">
        <v>170</v>
      </c>
      <c r="M57" s="115" t="s">
        <v>175</v>
      </c>
      <c r="N57" s="115" t="s">
        <v>176</v>
      </c>
      <c r="O57" s="115" t="s">
        <v>179</v>
      </c>
      <c r="P57" s="115" t="s">
        <v>181</v>
      </c>
      <c r="Q57" s="115" t="s">
        <v>184</v>
      </c>
      <c r="R57" s="115" t="s">
        <v>189</v>
      </c>
      <c r="S57" s="115" t="s">
        <v>192</v>
      </c>
      <c r="T57" s="115" t="s">
        <v>262</v>
      </c>
      <c r="U57" s="115" t="s">
        <v>300</v>
      </c>
      <c r="V57" s="115" t="s">
        <v>302</v>
      </c>
      <c r="W57" s="115" t="s">
        <v>306</v>
      </c>
      <c r="X57" s="115" t="s">
        <v>315</v>
      </c>
      <c r="Y57" s="115" t="s">
        <v>321</v>
      </c>
      <c r="Z57" s="115" t="s">
        <v>325</v>
      </c>
      <c r="AA57" s="115" t="s">
        <v>400</v>
      </c>
      <c r="AB57" s="115" t="s">
        <v>471</v>
      </c>
      <c r="AC57" s="115" t="s">
        <v>476</v>
      </c>
      <c r="AD57" s="115" t="s">
        <v>485</v>
      </c>
      <c r="AE57" s="115" t="s">
        <v>489</v>
      </c>
      <c r="AF57" s="115" t="s">
        <v>494</v>
      </c>
      <c r="AG57" s="115" t="s">
        <v>506</v>
      </c>
      <c r="AH57" s="115" t="s">
        <v>511</v>
      </c>
      <c r="AI57" s="115" t="s">
        <v>515</v>
      </c>
      <c r="AJ57" s="115" t="s">
        <v>522</v>
      </c>
      <c r="AK57" s="115" t="s">
        <v>528</v>
      </c>
      <c r="AL57" s="115" t="s">
        <v>532</v>
      </c>
      <c r="AM57" s="115" t="s">
        <v>547</v>
      </c>
      <c r="AN57" s="115" t="s">
        <v>647</v>
      </c>
      <c r="AO57" s="115" t="s">
        <v>651</v>
      </c>
      <c r="AP57" s="115" t="s">
        <v>662</v>
      </c>
      <c r="AQ57" s="115" t="s">
        <v>666</v>
      </c>
      <c r="AR57" s="115" t="s">
        <v>673</v>
      </c>
      <c r="AS57" s="115" t="s">
        <v>681</v>
      </c>
      <c r="AT57" s="115" t="s">
        <v>686</v>
      </c>
      <c r="AU57" s="115" t="s">
        <v>690</v>
      </c>
    </row>
    <row r="58" spans="1:66">
      <c r="A58" s="49" t="s">
        <v>24</v>
      </c>
      <c r="B58" s="51" t="s">
        <v>73</v>
      </c>
      <c r="C58" s="28">
        <v>-296</v>
      </c>
      <c r="D58" s="28">
        <v>-651</v>
      </c>
      <c r="E58" s="28">
        <v>-1005</v>
      </c>
      <c r="F58" s="28">
        <v>-1457</v>
      </c>
      <c r="G58" s="28">
        <v>-253</v>
      </c>
      <c r="H58" s="28">
        <v>-594</v>
      </c>
      <c r="I58" s="28">
        <v>-922</v>
      </c>
      <c r="J58" s="28">
        <v>-1322</v>
      </c>
      <c r="K58" s="28">
        <v>-269</v>
      </c>
      <c r="L58" s="28">
        <v>-634</v>
      </c>
      <c r="M58" s="28">
        <v>-1001</v>
      </c>
      <c r="N58" s="28">
        <v>-1500</v>
      </c>
      <c r="O58" s="28">
        <v>-328</v>
      </c>
      <c r="P58" s="28">
        <v>-733</v>
      </c>
      <c r="Q58" s="28">
        <v>-1170</v>
      </c>
      <c r="R58" s="28">
        <v>-1663</v>
      </c>
      <c r="S58" s="28">
        <v>-389</v>
      </c>
      <c r="T58" s="28">
        <v>-870</v>
      </c>
      <c r="U58" s="28">
        <v>-1325</v>
      </c>
      <c r="V58" s="28">
        <v>-1922</v>
      </c>
      <c r="W58" s="28">
        <v>-4022.0153999999998</v>
      </c>
      <c r="X58" s="28">
        <v>-8237.7296000000006</v>
      </c>
      <c r="Y58" s="28">
        <v>-12661.098</v>
      </c>
      <c r="Z58" s="28">
        <v>-17946.293000000001</v>
      </c>
      <c r="AA58" s="28">
        <v>-5363.3477999999996</v>
      </c>
      <c r="AB58" s="28">
        <v>-10074.7659</v>
      </c>
      <c r="AC58" s="28">
        <v>-15384.880789999999</v>
      </c>
      <c r="AD58" s="28">
        <v>-20021.979190000002</v>
      </c>
      <c r="AE58" s="28">
        <v>1628</v>
      </c>
      <c r="AF58" s="28">
        <v>-970</v>
      </c>
      <c r="AG58" s="28">
        <v>-2686</v>
      </c>
      <c r="AH58" s="28">
        <v>-6029</v>
      </c>
      <c r="AI58" s="28">
        <v>-2759</v>
      </c>
      <c r="AJ58" s="28">
        <v>-7957</v>
      </c>
      <c r="AK58" s="28">
        <v>-14468</v>
      </c>
      <c r="AL58" s="28">
        <v>-22873</v>
      </c>
      <c r="AM58" s="28">
        <v>-10321</v>
      </c>
      <c r="AN58" s="28">
        <v>-21387</v>
      </c>
      <c r="AO58" s="28">
        <v>-32300</v>
      </c>
      <c r="AP58" s="28">
        <v>-44337</v>
      </c>
      <c r="AQ58" s="28">
        <v>-10461</v>
      </c>
      <c r="AR58" s="28">
        <v>-22124</v>
      </c>
      <c r="AS58" s="28">
        <v>-32813</v>
      </c>
      <c r="AT58" s="28">
        <v>-45665</v>
      </c>
      <c r="AU58" s="28">
        <v>-12481</v>
      </c>
      <c r="AW58" s="15"/>
      <c r="BI58" s="14"/>
      <c r="BK58" s="15"/>
    </row>
    <row r="59" spans="1:66" ht="36">
      <c r="A59" s="49" t="s">
        <v>34</v>
      </c>
      <c r="B59" s="52" t="s">
        <v>74</v>
      </c>
      <c r="C59" s="29">
        <v>-458</v>
      </c>
      <c r="D59" s="29">
        <v>-742</v>
      </c>
      <c r="E59" s="29">
        <v>-1145</v>
      </c>
      <c r="F59" s="29">
        <v>-1505</v>
      </c>
      <c r="G59" s="29">
        <v>-431</v>
      </c>
      <c r="H59" s="29">
        <v>-917</v>
      </c>
      <c r="I59" s="29">
        <v>-1442</v>
      </c>
      <c r="J59" s="29">
        <v>-1951</v>
      </c>
      <c r="K59" s="29">
        <v>-495</v>
      </c>
      <c r="L59" s="29">
        <v>-1052</v>
      </c>
      <c r="M59" s="29">
        <v>-1614</v>
      </c>
      <c r="N59" s="29">
        <v>-2324</v>
      </c>
      <c r="O59" s="29">
        <v>-680</v>
      </c>
      <c r="P59" s="29">
        <v>-1597</v>
      </c>
      <c r="Q59" s="29">
        <v>-2645</v>
      </c>
      <c r="R59" s="29">
        <v>-4039</v>
      </c>
      <c r="S59" s="29">
        <v>-1189</v>
      </c>
      <c r="T59" s="29">
        <v>-2707</v>
      </c>
      <c r="U59" s="29">
        <v>-4083</v>
      </c>
      <c r="V59" s="29">
        <v>-5407</v>
      </c>
      <c r="W59" s="29">
        <v>-929.69500000000005</v>
      </c>
      <c r="X59" s="29">
        <v>-1757.058</v>
      </c>
      <c r="Y59" s="29">
        <v>-2616.4250000000002</v>
      </c>
      <c r="Z59" s="29">
        <v>-3537.2510000000002</v>
      </c>
      <c r="AA59" s="29">
        <v>-1045.55</v>
      </c>
      <c r="AB59" s="29">
        <v>-2234.2829999999999</v>
      </c>
      <c r="AC59" s="29">
        <v>-3401.625</v>
      </c>
      <c r="AD59" s="29">
        <v>-4609.9399999999996</v>
      </c>
      <c r="AE59" s="29">
        <v>-1148</v>
      </c>
      <c r="AF59" s="29">
        <v>-2266</v>
      </c>
      <c r="AG59" s="29">
        <v>-3435</v>
      </c>
      <c r="AH59" s="29">
        <v>-4671</v>
      </c>
      <c r="AI59" s="29">
        <v>-1229</v>
      </c>
      <c r="AJ59" s="29">
        <v>-2547</v>
      </c>
      <c r="AK59" s="29">
        <v>-4200</v>
      </c>
      <c r="AL59" s="29">
        <v>-5480</v>
      </c>
      <c r="AM59" s="29">
        <v>-1137</v>
      </c>
      <c r="AN59" s="29">
        <v>-2485</v>
      </c>
      <c r="AO59" s="29">
        <v>-3714</v>
      </c>
      <c r="AP59" s="29">
        <v>-4930</v>
      </c>
      <c r="AQ59" s="29">
        <v>-1101</v>
      </c>
      <c r="AR59" s="29">
        <v>-2293</v>
      </c>
      <c r="AS59" s="29">
        <v>-3341</v>
      </c>
      <c r="AT59" s="29">
        <v>-4548</v>
      </c>
      <c r="AU59" s="29">
        <v>-1146</v>
      </c>
      <c r="AW59" s="15"/>
      <c r="BI59" s="14"/>
      <c r="BK59" s="15"/>
      <c r="BN59" s="15"/>
    </row>
    <row r="60" spans="1:66">
      <c r="A60" s="49" t="s">
        <v>25</v>
      </c>
      <c r="B60" s="52" t="s">
        <v>75</v>
      </c>
      <c r="C60" s="29">
        <v>-3581</v>
      </c>
      <c r="D60" s="29">
        <v>-7432</v>
      </c>
      <c r="E60" s="29">
        <v>-10917</v>
      </c>
      <c r="F60" s="29">
        <v>-14536</v>
      </c>
      <c r="G60" s="29">
        <v>-3165</v>
      </c>
      <c r="H60" s="29">
        <v>-9092</v>
      </c>
      <c r="I60" s="29">
        <v>-13074</v>
      </c>
      <c r="J60" s="29">
        <v>-18485</v>
      </c>
      <c r="K60" s="29">
        <v>-4394</v>
      </c>
      <c r="L60" s="29">
        <v>-10612</v>
      </c>
      <c r="M60" s="29">
        <v>-14840</v>
      </c>
      <c r="N60" s="29">
        <v>-19328</v>
      </c>
      <c r="O60" s="29">
        <v>-4081</v>
      </c>
      <c r="P60" s="29">
        <v>-8687</v>
      </c>
      <c r="Q60" s="29">
        <v>-13852</v>
      </c>
      <c r="R60" s="29">
        <v>-20936</v>
      </c>
      <c r="S60" s="29">
        <v>-6925</v>
      </c>
      <c r="T60" s="29">
        <v>-14366</v>
      </c>
      <c r="U60" s="29">
        <v>-22462</v>
      </c>
      <c r="V60" s="29">
        <v>-30854</v>
      </c>
      <c r="W60" s="29">
        <v>-4736.3598200000015</v>
      </c>
      <c r="X60" s="29">
        <v>-10933.087349999989</v>
      </c>
      <c r="Y60" s="29">
        <v>-21052.815100000003</v>
      </c>
      <c r="Z60" s="29">
        <v>-30982.794289999998</v>
      </c>
      <c r="AA60" s="29">
        <v>-9113.2400699999998</v>
      </c>
      <c r="AB60" s="29">
        <v>-17612.431689999998</v>
      </c>
      <c r="AC60" s="29">
        <v>-25397.478920000001</v>
      </c>
      <c r="AD60" s="29">
        <v>-33373.760699999999</v>
      </c>
      <c r="AE60" s="29">
        <v>-7309</v>
      </c>
      <c r="AF60" s="29">
        <v>-13959</v>
      </c>
      <c r="AG60" s="29">
        <v>-21873</v>
      </c>
      <c r="AH60" s="29">
        <v>-28165</v>
      </c>
      <c r="AI60" s="29">
        <v>-6608</v>
      </c>
      <c r="AJ60" s="29">
        <v>-13169</v>
      </c>
      <c r="AK60" s="29">
        <v>-20425</v>
      </c>
      <c r="AL60" s="29">
        <v>-26031</v>
      </c>
      <c r="AM60" s="29">
        <v>-6461</v>
      </c>
      <c r="AN60" s="29">
        <v>-12000</v>
      </c>
      <c r="AO60" s="29">
        <v>-17886</v>
      </c>
      <c r="AP60" s="29">
        <v>-23287</v>
      </c>
      <c r="AQ60" s="29">
        <v>-7510</v>
      </c>
      <c r="AR60" s="29">
        <v>-14765</v>
      </c>
      <c r="AS60" s="29">
        <v>-26486</v>
      </c>
      <c r="AT60" s="29">
        <v>-35574</v>
      </c>
      <c r="AU60" s="29">
        <v>-8945</v>
      </c>
      <c r="AW60" s="15"/>
      <c r="BI60" s="14"/>
      <c r="BK60" s="15"/>
      <c r="BL60" s="15"/>
      <c r="BN60" s="15"/>
    </row>
    <row r="61" spans="1:66">
      <c r="A61" s="49"/>
      <c r="B61" s="52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>
        <v>0</v>
      </c>
      <c r="AB61" s="29">
        <v>0</v>
      </c>
      <c r="AC61" s="29">
        <v>0</v>
      </c>
      <c r="AD61" s="29">
        <v>0</v>
      </c>
      <c r="AE61" s="29">
        <v>0</v>
      </c>
      <c r="AF61" s="29">
        <v>0</v>
      </c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W61" s="15"/>
      <c r="BI61" s="14"/>
    </row>
    <row r="62" spans="1:66">
      <c r="A62" s="49" t="s">
        <v>27</v>
      </c>
      <c r="B62" s="52" t="s">
        <v>77</v>
      </c>
      <c r="C62" s="29">
        <v>-12451</v>
      </c>
      <c r="D62" s="29">
        <v>-26764</v>
      </c>
      <c r="E62" s="29">
        <v>-40613</v>
      </c>
      <c r="F62" s="29">
        <v>-54635</v>
      </c>
      <c r="G62" s="29">
        <v>-13881</v>
      </c>
      <c r="H62" s="29">
        <v>-28725</v>
      </c>
      <c r="I62" s="29">
        <v>-44520</v>
      </c>
      <c r="J62" s="29">
        <v>-60350</v>
      </c>
      <c r="K62" s="29">
        <v>-15775</v>
      </c>
      <c r="L62" s="29">
        <v>-32966</v>
      </c>
      <c r="M62" s="29">
        <v>-51321</v>
      </c>
      <c r="N62" s="29">
        <v>-69186</v>
      </c>
      <c r="O62" s="29">
        <v>-17380</v>
      </c>
      <c r="P62" s="29">
        <v>-37099</v>
      </c>
      <c r="Q62" s="29">
        <v>-57226</v>
      </c>
      <c r="R62" s="29">
        <v>-77596</v>
      </c>
      <c r="S62" s="29">
        <v>-20515</v>
      </c>
      <c r="T62" s="29">
        <v>-43598</v>
      </c>
      <c r="U62" s="29">
        <v>-66973</v>
      </c>
      <c r="V62" s="29">
        <v>-89297</v>
      </c>
      <c r="W62" s="29">
        <v>-20241.899000000001</v>
      </c>
      <c r="X62" s="29">
        <v>-44867.488290000001</v>
      </c>
      <c r="Y62" s="29">
        <v>-77657.298970000003</v>
      </c>
      <c r="Z62" s="29">
        <v>-107029.67096999999</v>
      </c>
      <c r="AA62" s="29">
        <v>-26019.298999999999</v>
      </c>
      <c r="AB62" s="29">
        <v>-44803.57</v>
      </c>
      <c r="AC62" s="29">
        <v>-71954.025999999998</v>
      </c>
      <c r="AD62" s="29">
        <v>-93513.650999999998</v>
      </c>
      <c r="AE62" s="29">
        <v>-21459</v>
      </c>
      <c r="AF62" s="29">
        <v>-40122</v>
      </c>
      <c r="AG62" s="29">
        <v>-65976</v>
      </c>
      <c r="AH62" s="29">
        <v>-86391</v>
      </c>
      <c r="AI62" s="29">
        <v>-23971</v>
      </c>
      <c r="AJ62" s="29">
        <v>-48832</v>
      </c>
      <c r="AK62" s="29">
        <v>-78398</v>
      </c>
      <c r="AL62" s="29">
        <v>-105252</v>
      </c>
      <c r="AM62" s="29">
        <v>-26297</v>
      </c>
      <c r="AN62" s="29">
        <v>-53088</v>
      </c>
      <c r="AO62" s="29">
        <v>-82582</v>
      </c>
      <c r="AP62" s="29">
        <v>-111310</v>
      </c>
      <c r="AQ62" s="29">
        <v>-26390</v>
      </c>
      <c r="AR62" s="29">
        <v>-56748</v>
      </c>
      <c r="AS62" s="29">
        <v>-89788</v>
      </c>
      <c r="AT62" s="29">
        <v>-117815</v>
      </c>
      <c r="AU62" s="29">
        <v>-23341</v>
      </c>
      <c r="AW62" s="15"/>
      <c r="BI62" s="14"/>
      <c r="BK62" s="15"/>
      <c r="BL62" s="15"/>
      <c r="BN62" s="15"/>
    </row>
    <row r="63" spans="1:66">
      <c r="A63" s="44" t="s">
        <v>28</v>
      </c>
      <c r="B63" s="52" t="s">
        <v>78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29">
        <v>-3016.761</v>
      </c>
      <c r="X63" s="29">
        <v>-7073.6149999999998</v>
      </c>
      <c r="Y63" s="29">
        <v>-10716.335999999999</v>
      </c>
      <c r="Z63" s="29">
        <v>-10048.406000000001</v>
      </c>
      <c r="AA63" s="29">
        <v>-3786.1570000000002</v>
      </c>
      <c r="AB63" s="29">
        <v>-7573.5490000000009</v>
      </c>
      <c r="AC63" s="29">
        <v>-12866.554</v>
      </c>
      <c r="AD63" s="29">
        <v>-16440.422999999999</v>
      </c>
      <c r="AE63" s="29">
        <v>-4936</v>
      </c>
      <c r="AF63" s="29">
        <v>-9642</v>
      </c>
      <c r="AG63" s="29">
        <v>-12521</v>
      </c>
      <c r="AH63" s="29">
        <v>-15036</v>
      </c>
      <c r="AI63" s="29">
        <v>-2464</v>
      </c>
      <c r="AJ63" s="29">
        <v>-6433</v>
      </c>
      <c r="AK63" s="29">
        <v>-8996</v>
      </c>
      <c r="AL63" s="29">
        <v>-11546</v>
      </c>
      <c r="AM63" s="29">
        <v>-2190</v>
      </c>
      <c r="AN63" s="29">
        <v>-5633</v>
      </c>
      <c r="AO63" s="29">
        <v>-7696</v>
      </c>
      <c r="AP63" s="29">
        <v>-9518</v>
      </c>
      <c r="AQ63" s="29">
        <v>-1762</v>
      </c>
      <c r="AR63" s="29">
        <v>-5059</v>
      </c>
      <c r="AS63" s="29">
        <v>-6693</v>
      </c>
      <c r="AT63" s="29">
        <v>-8280</v>
      </c>
      <c r="AU63" s="29">
        <v>-2509</v>
      </c>
      <c r="AW63" s="15"/>
      <c r="BI63" s="14"/>
    </row>
    <row r="64" spans="1:66">
      <c r="A64" s="49"/>
      <c r="B64" s="52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W64" s="15"/>
      <c r="BI64" s="14"/>
    </row>
    <row r="65" spans="1:66">
      <c r="A65" s="49" t="s">
        <v>30</v>
      </c>
      <c r="B65" s="52" t="s">
        <v>80</v>
      </c>
      <c r="C65" s="29">
        <v>-952</v>
      </c>
      <c r="D65" s="29">
        <v>-1728</v>
      </c>
      <c r="E65" s="29">
        <v>-2619</v>
      </c>
      <c r="F65" s="29">
        <v>-3366</v>
      </c>
      <c r="G65" s="29">
        <v>-788</v>
      </c>
      <c r="H65" s="29">
        <v>-1550</v>
      </c>
      <c r="I65" s="29">
        <v>-2400</v>
      </c>
      <c r="J65" s="29">
        <v>-3386</v>
      </c>
      <c r="K65" s="29">
        <v>-814</v>
      </c>
      <c r="L65" s="29">
        <v>-1669</v>
      </c>
      <c r="M65" s="29">
        <v>-2509</v>
      </c>
      <c r="N65" s="29">
        <v>-3597</v>
      </c>
      <c r="O65" s="29">
        <v>-1054</v>
      </c>
      <c r="P65" s="29">
        <v>-1925</v>
      </c>
      <c r="Q65" s="29">
        <v>-2715</v>
      </c>
      <c r="R65" s="29">
        <v>-3511</v>
      </c>
      <c r="S65" s="29">
        <v>-905</v>
      </c>
      <c r="T65" s="29">
        <v>-1714</v>
      </c>
      <c r="U65" s="29">
        <v>-2460</v>
      </c>
      <c r="V65" s="29">
        <v>-3111</v>
      </c>
      <c r="W65" s="29">
        <v>-627.2106</v>
      </c>
      <c r="X65" s="29">
        <v>-1175.9582000000003</v>
      </c>
      <c r="Y65" s="29">
        <v>-1713.4443000000001</v>
      </c>
      <c r="Z65" s="29">
        <v>-2261.5776999999998</v>
      </c>
      <c r="AA65" s="29">
        <v>-794.27049999999997</v>
      </c>
      <c r="AB65" s="29">
        <v>-1571.4322</v>
      </c>
      <c r="AC65" s="29">
        <v>-2455.4874000000004</v>
      </c>
      <c r="AD65" s="29">
        <v>-3321.2352799999999</v>
      </c>
      <c r="AE65" s="29">
        <v>-875</v>
      </c>
      <c r="AF65" s="29">
        <v>-1682</v>
      </c>
      <c r="AG65" s="29">
        <v>-2356</v>
      </c>
      <c r="AH65" s="29">
        <v>-3087</v>
      </c>
      <c r="AI65" s="29">
        <v>-863</v>
      </c>
      <c r="AJ65" s="29">
        <v>-1459</v>
      </c>
      <c r="AK65" s="29">
        <v>-2154</v>
      </c>
      <c r="AL65" s="29">
        <v>-3008</v>
      </c>
      <c r="AM65" s="29">
        <v>-573</v>
      </c>
      <c r="AN65" s="29">
        <v>-1102</v>
      </c>
      <c r="AO65" s="29">
        <v>-1598</v>
      </c>
      <c r="AP65" s="29">
        <v>-2233</v>
      </c>
      <c r="AQ65" s="29">
        <v>-587</v>
      </c>
      <c r="AR65" s="29">
        <v>-1395</v>
      </c>
      <c r="AS65" s="29">
        <v>-2045</v>
      </c>
      <c r="AT65" s="29">
        <v>-2595</v>
      </c>
      <c r="AU65" s="29">
        <v>-957</v>
      </c>
      <c r="AW65" s="15"/>
      <c r="BI65" s="14"/>
      <c r="BK65" s="15"/>
    </row>
    <row r="66" spans="1:66" ht="24">
      <c r="A66" s="49" t="s">
        <v>31</v>
      </c>
      <c r="B66" s="52" t="s">
        <v>84</v>
      </c>
      <c r="C66" s="29">
        <v>-831</v>
      </c>
      <c r="D66" s="29">
        <v>-2142</v>
      </c>
      <c r="E66" s="29">
        <v>-3273</v>
      </c>
      <c r="F66" s="29">
        <v>-4939</v>
      </c>
      <c r="G66" s="29">
        <v>-1462</v>
      </c>
      <c r="H66" s="29">
        <v>-3382</v>
      </c>
      <c r="I66" s="29">
        <v>-5466</v>
      </c>
      <c r="J66" s="29">
        <v>-7599</v>
      </c>
      <c r="K66" s="29">
        <v>-2153</v>
      </c>
      <c r="L66" s="29">
        <v>-4387</v>
      </c>
      <c r="M66" s="29">
        <v>-6491</v>
      </c>
      <c r="N66" s="29">
        <v>-8667</v>
      </c>
      <c r="O66" s="29">
        <v>-2238</v>
      </c>
      <c r="P66" s="29">
        <v>-4851</v>
      </c>
      <c r="Q66" s="29">
        <v>-7550</v>
      </c>
      <c r="R66" s="29">
        <v>-10244</v>
      </c>
      <c r="S66" s="29">
        <v>-2635</v>
      </c>
      <c r="T66" s="29">
        <v>-5164</v>
      </c>
      <c r="U66" s="29">
        <v>-7341</v>
      </c>
      <c r="V66" s="29">
        <v>-9521</v>
      </c>
      <c r="W66" s="29">
        <v>-2225.1880000000001</v>
      </c>
      <c r="X66" s="29">
        <v>-4372.7450999999992</v>
      </c>
      <c r="Y66" s="29">
        <v>-7574.1150999999991</v>
      </c>
      <c r="Z66" s="29">
        <v>-10308.926900000006</v>
      </c>
      <c r="AA66" s="29">
        <v>-3067.5132999999996</v>
      </c>
      <c r="AB66" s="29">
        <v>-5409.9340000000011</v>
      </c>
      <c r="AC66" s="29">
        <v>-7948.5259999999998</v>
      </c>
      <c r="AD66" s="29">
        <v>-10416.909100000001</v>
      </c>
      <c r="AE66" s="29">
        <v>-2685</v>
      </c>
      <c r="AF66" s="29">
        <v>-5372</v>
      </c>
      <c r="AG66" s="29">
        <v>-8518</v>
      </c>
      <c r="AH66" s="29">
        <v>-11675</v>
      </c>
      <c r="AI66" s="29">
        <v>-2993</v>
      </c>
      <c r="AJ66" s="29">
        <v>-5834</v>
      </c>
      <c r="AK66" s="29">
        <v>-8442</v>
      </c>
      <c r="AL66" s="29">
        <v>-10916</v>
      </c>
      <c r="AM66" s="29">
        <v>-2582</v>
      </c>
      <c r="AN66" s="29">
        <v>-5358</v>
      </c>
      <c r="AO66" s="29">
        <v>-8144</v>
      </c>
      <c r="AP66" s="29">
        <v>-11114</v>
      </c>
      <c r="AQ66" s="29">
        <v>-3175</v>
      </c>
      <c r="AR66" s="29">
        <v>-6282</v>
      </c>
      <c r="AS66" s="29">
        <v>-9541</v>
      </c>
      <c r="AT66" s="29">
        <v>-13435</v>
      </c>
      <c r="AU66" s="29">
        <v>-4217</v>
      </c>
      <c r="AW66" s="15"/>
      <c r="BI66" s="14"/>
      <c r="BK66" s="15"/>
      <c r="BL66" s="15"/>
      <c r="BN66" s="15"/>
    </row>
    <row r="67" spans="1:66" ht="12.5" thickBot="1">
      <c r="A67" s="49" t="s">
        <v>32</v>
      </c>
      <c r="B67" s="52" t="s">
        <v>82</v>
      </c>
      <c r="C67" s="29">
        <v>-775</v>
      </c>
      <c r="D67" s="29">
        <v>-1383</v>
      </c>
      <c r="E67" s="29">
        <v>-2189</v>
      </c>
      <c r="F67" s="29">
        <v>-3210</v>
      </c>
      <c r="G67" s="29">
        <v>-1084</v>
      </c>
      <c r="H67" s="29">
        <v>-2584</v>
      </c>
      <c r="I67" s="29">
        <v>-3818</v>
      </c>
      <c r="J67" s="29">
        <v>-7014</v>
      </c>
      <c r="K67" s="29">
        <v>-3130</v>
      </c>
      <c r="L67" s="29">
        <v>-4867</v>
      </c>
      <c r="M67" s="29">
        <v>-7458</v>
      </c>
      <c r="N67" s="29">
        <v>-12381</v>
      </c>
      <c r="O67" s="29">
        <v>-4220</v>
      </c>
      <c r="P67" s="29">
        <v>-8735</v>
      </c>
      <c r="Q67" s="29">
        <v>-13995</v>
      </c>
      <c r="R67" s="29">
        <v>-17746</v>
      </c>
      <c r="S67" s="29">
        <v>-4140</v>
      </c>
      <c r="T67" s="29">
        <v>-9555</v>
      </c>
      <c r="U67" s="29">
        <v>-15764</v>
      </c>
      <c r="V67" s="29">
        <v>-23064</v>
      </c>
      <c r="W67" s="29">
        <v>-2557.1770400000046</v>
      </c>
      <c r="X67" s="29">
        <v>-6209.8089499999905</v>
      </c>
      <c r="Y67" s="29">
        <v>-10600.594690000016</v>
      </c>
      <c r="Z67" s="29">
        <v>-18619.834730000141</v>
      </c>
      <c r="AA67" s="29">
        <v>-3946.2486600000111</v>
      </c>
      <c r="AB67" s="29">
        <v>-8895.1665899999734</v>
      </c>
      <c r="AC67" s="29">
        <v>-14132.358420000002</v>
      </c>
      <c r="AD67" s="29">
        <v>-19660.141609999984</v>
      </c>
      <c r="AE67" s="29">
        <v>-4433</v>
      </c>
      <c r="AF67" s="29">
        <v>-11749</v>
      </c>
      <c r="AG67" s="29">
        <v>-18729</v>
      </c>
      <c r="AH67" s="29">
        <v>-26584</v>
      </c>
      <c r="AI67" s="29">
        <v>-6204</v>
      </c>
      <c r="AJ67" s="29">
        <v>-15236</v>
      </c>
      <c r="AK67" s="29">
        <v>-24871</v>
      </c>
      <c r="AL67" s="29">
        <v>-34334</v>
      </c>
      <c r="AM67" s="29">
        <v>-10155</v>
      </c>
      <c r="AN67" s="29">
        <v>-19594</v>
      </c>
      <c r="AO67" s="29">
        <v>-34551</v>
      </c>
      <c r="AP67" s="29">
        <v>-48021</v>
      </c>
      <c r="AQ67" s="29">
        <v>-11854</v>
      </c>
      <c r="AR67" s="29">
        <v>-25784</v>
      </c>
      <c r="AS67" s="29">
        <v>-39780</v>
      </c>
      <c r="AT67" s="29">
        <v>-53709</v>
      </c>
      <c r="AU67" s="29">
        <v>-13332</v>
      </c>
      <c r="AW67" s="15"/>
      <c r="BI67" s="14"/>
      <c r="BK67" s="15"/>
      <c r="BL67" s="15"/>
      <c r="BN67" s="15"/>
    </row>
    <row r="68" spans="1:66" ht="12.5" thickBot="1">
      <c r="A68" s="50" t="s">
        <v>33</v>
      </c>
      <c r="B68" s="53" t="s">
        <v>83</v>
      </c>
      <c r="C68" s="32">
        <f t="shared" ref="C68:J68" si="65">SUM(C58:C67)</f>
        <v>-19344</v>
      </c>
      <c r="D68" s="32">
        <f t="shared" si="65"/>
        <v>-40842</v>
      </c>
      <c r="E68" s="32">
        <f t="shared" si="65"/>
        <v>-61761</v>
      </c>
      <c r="F68" s="32">
        <f t="shared" si="65"/>
        <v>-83648</v>
      </c>
      <c r="G68" s="32">
        <f t="shared" si="65"/>
        <v>-21064</v>
      </c>
      <c r="H68" s="32">
        <f t="shared" si="65"/>
        <v>-46844</v>
      </c>
      <c r="I68" s="32">
        <f t="shared" si="65"/>
        <v>-71642</v>
      </c>
      <c r="J68" s="32">
        <f t="shared" si="65"/>
        <v>-100107</v>
      </c>
      <c r="K68" s="32">
        <v>-27030</v>
      </c>
      <c r="L68" s="32">
        <f t="shared" ref="L68:Q68" si="66">SUM(L58:L67)</f>
        <v>-56187</v>
      </c>
      <c r="M68" s="32">
        <f t="shared" si="66"/>
        <v>-85234</v>
      </c>
      <c r="N68" s="32">
        <f t="shared" si="66"/>
        <v>-116983</v>
      </c>
      <c r="O68" s="32">
        <f t="shared" si="66"/>
        <v>-29981</v>
      </c>
      <c r="P68" s="32">
        <f t="shared" si="66"/>
        <v>-63627</v>
      </c>
      <c r="Q68" s="32">
        <f t="shared" si="66"/>
        <v>-99153</v>
      </c>
      <c r="R68" s="32">
        <f t="shared" ref="R68:V68" si="67">SUM(R58:R67)</f>
        <v>-135735</v>
      </c>
      <c r="S68" s="32">
        <f t="shared" si="67"/>
        <v>-36698</v>
      </c>
      <c r="T68" s="32">
        <f t="shared" si="67"/>
        <v>-77974</v>
      </c>
      <c r="U68" s="32">
        <f t="shared" si="67"/>
        <v>-120408</v>
      </c>
      <c r="V68" s="32">
        <f t="shared" si="67"/>
        <v>-163176</v>
      </c>
      <c r="W68" s="32">
        <f t="shared" ref="W68:Y68" si="68">SUM(W58:W67)</f>
        <v>-38356.305860000008</v>
      </c>
      <c r="X68" s="32">
        <f t="shared" si="68"/>
        <v>-84627.490489999982</v>
      </c>
      <c r="Y68" s="32">
        <f t="shared" si="68"/>
        <v>-144592.12716000003</v>
      </c>
      <c r="Z68" s="32">
        <f>SUM(Z58:Z67)</f>
        <v>-200734.75459000011</v>
      </c>
      <c r="AA68" s="32">
        <f t="shared" ref="AA68:AS68" si="69">SUM(AA58:AA67)</f>
        <v>-53135.626330000006</v>
      </c>
      <c r="AB68" s="32">
        <f t="shared" si="69"/>
        <v>-98175.132379999966</v>
      </c>
      <c r="AC68" s="32">
        <f t="shared" si="69"/>
        <v>-153540.93653000004</v>
      </c>
      <c r="AD68" s="32">
        <f t="shared" si="69"/>
        <v>-201358.03987999997</v>
      </c>
      <c r="AE68" s="32">
        <f t="shared" si="69"/>
        <v>-41217</v>
      </c>
      <c r="AF68" s="32">
        <f t="shared" si="69"/>
        <v>-85762</v>
      </c>
      <c r="AG68" s="32">
        <f t="shared" si="69"/>
        <v>-136094</v>
      </c>
      <c r="AH68" s="32">
        <f t="shared" si="69"/>
        <v>-181638</v>
      </c>
      <c r="AI68" s="32">
        <f t="shared" si="69"/>
        <v>-47091</v>
      </c>
      <c r="AJ68" s="32">
        <f t="shared" si="69"/>
        <v>-101467</v>
      </c>
      <c r="AK68" s="32">
        <f t="shared" si="69"/>
        <v>-161954</v>
      </c>
      <c r="AL68" s="32">
        <f t="shared" si="69"/>
        <v>-219440</v>
      </c>
      <c r="AM68" s="32">
        <f t="shared" si="69"/>
        <v>-59716</v>
      </c>
      <c r="AN68" s="32">
        <f t="shared" si="69"/>
        <v>-120647</v>
      </c>
      <c r="AO68" s="32">
        <f t="shared" si="69"/>
        <v>-188471</v>
      </c>
      <c r="AP68" s="32">
        <f t="shared" si="69"/>
        <v>-254750</v>
      </c>
      <c r="AQ68" s="32">
        <f t="shared" si="69"/>
        <v>-62840</v>
      </c>
      <c r="AR68" s="32">
        <f t="shared" si="69"/>
        <v>-134450</v>
      </c>
      <c r="AS68" s="32">
        <f t="shared" si="69"/>
        <v>-210487</v>
      </c>
      <c r="AT68" s="32">
        <f t="shared" ref="AT68:AU68" si="70">SUM(AT58:AT67)</f>
        <v>-281621</v>
      </c>
      <c r="AU68" s="32">
        <f t="shared" si="70"/>
        <v>-66928</v>
      </c>
      <c r="AW68" s="15"/>
      <c r="BI68" s="14"/>
      <c r="BK68" s="15"/>
      <c r="BL68" s="15"/>
      <c r="BN68" s="15"/>
    </row>
    <row r="69" spans="1:66">
      <c r="A69" s="5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</row>
    <row r="70" spans="1:66" s="117" customFormat="1" ht="24.5" thickBot="1">
      <c r="A70" s="98" t="s">
        <v>394</v>
      </c>
      <c r="B70" s="98" t="s">
        <v>96</v>
      </c>
      <c r="C70" s="115" t="s">
        <v>115</v>
      </c>
      <c r="D70" s="115" t="s">
        <v>118</v>
      </c>
      <c r="E70" s="115" t="s">
        <v>122</v>
      </c>
      <c r="F70" s="115" t="s">
        <v>137</v>
      </c>
      <c r="G70" s="115" t="s">
        <v>140</v>
      </c>
      <c r="H70" s="115" t="s">
        <v>159</v>
      </c>
      <c r="I70" s="115" t="s">
        <v>160</v>
      </c>
      <c r="J70" s="115" t="s">
        <v>163</v>
      </c>
      <c r="K70" s="115" t="s">
        <v>166</v>
      </c>
      <c r="L70" s="115" t="s">
        <v>170</v>
      </c>
      <c r="M70" s="115" t="s">
        <v>175</v>
      </c>
      <c r="N70" s="115" t="s">
        <v>176</v>
      </c>
      <c r="O70" s="115" t="s">
        <v>179</v>
      </c>
      <c r="P70" s="115" t="s">
        <v>181</v>
      </c>
      <c r="Q70" s="115" t="s">
        <v>184</v>
      </c>
      <c r="R70" s="115" t="s">
        <v>189</v>
      </c>
      <c r="S70" s="115" t="s">
        <v>192</v>
      </c>
      <c r="T70" s="115" t="s">
        <v>262</v>
      </c>
      <c r="U70" s="115" t="s">
        <v>300</v>
      </c>
      <c r="V70" s="115" t="s">
        <v>302</v>
      </c>
      <c r="W70" s="115" t="s">
        <v>306</v>
      </c>
      <c r="X70" s="115" t="s">
        <v>315</v>
      </c>
      <c r="Y70" s="115" t="s">
        <v>321</v>
      </c>
      <c r="Z70" s="115" t="s">
        <v>325</v>
      </c>
      <c r="AA70" s="115" t="s">
        <v>400</v>
      </c>
      <c r="AB70" s="115" t="s">
        <v>471</v>
      </c>
      <c r="AC70" s="115" t="s">
        <v>476</v>
      </c>
      <c r="AD70" s="115" t="s">
        <v>485</v>
      </c>
      <c r="AE70" s="115" t="s">
        <v>489</v>
      </c>
      <c r="AF70" s="115" t="s">
        <v>494</v>
      </c>
      <c r="AG70" s="115" t="s">
        <v>506</v>
      </c>
      <c r="AH70" s="115" t="s">
        <v>511</v>
      </c>
      <c r="AI70" s="115" t="s">
        <v>515</v>
      </c>
      <c r="AJ70" s="115" t="s">
        <v>522</v>
      </c>
      <c r="AK70" s="115" t="s">
        <v>528</v>
      </c>
      <c r="AL70" s="115" t="s">
        <v>532</v>
      </c>
      <c r="AM70" s="115" t="s">
        <v>547</v>
      </c>
      <c r="AN70" s="115" t="s">
        <v>647</v>
      </c>
      <c r="AO70" s="115" t="s">
        <v>651</v>
      </c>
      <c r="AP70" s="115" t="s">
        <v>662</v>
      </c>
      <c r="AQ70" s="115" t="s">
        <v>666</v>
      </c>
      <c r="AR70" s="115" t="s">
        <v>673</v>
      </c>
      <c r="AS70" s="115" t="s">
        <v>681</v>
      </c>
      <c r="AT70" s="115" t="s">
        <v>686</v>
      </c>
      <c r="AU70" s="115" t="s">
        <v>690</v>
      </c>
    </row>
    <row r="71" spans="1:66">
      <c r="A71" s="49" t="s">
        <v>24</v>
      </c>
      <c r="B71" s="51" t="s">
        <v>73</v>
      </c>
      <c r="C71" s="28">
        <f>C45+C58</f>
        <v>22932</v>
      </c>
      <c r="D71" s="28">
        <f t="shared" ref="C71:R81" si="71">D45+D58</f>
        <v>46125</v>
      </c>
      <c r="E71" s="28">
        <f t="shared" si="71"/>
        <v>69122</v>
      </c>
      <c r="F71" s="28">
        <f t="shared" si="71"/>
        <v>91490</v>
      </c>
      <c r="G71" s="28">
        <f t="shared" si="71"/>
        <v>21685</v>
      </c>
      <c r="H71" s="28">
        <f t="shared" si="71"/>
        <v>42941</v>
      </c>
      <c r="I71" s="28">
        <f t="shared" si="71"/>
        <v>65099</v>
      </c>
      <c r="J71" s="28">
        <f t="shared" si="71"/>
        <v>84781</v>
      </c>
      <c r="K71" s="28">
        <f t="shared" si="71"/>
        <v>19704</v>
      </c>
      <c r="L71" s="28">
        <f t="shared" si="71"/>
        <v>40019</v>
      </c>
      <c r="M71" s="28">
        <f t="shared" si="71"/>
        <v>59852</v>
      </c>
      <c r="N71" s="28">
        <f t="shared" si="71"/>
        <v>79851</v>
      </c>
      <c r="O71" s="28">
        <f t="shared" si="71"/>
        <v>19354</v>
      </c>
      <c r="P71" s="28">
        <f t="shared" si="71"/>
        <v>38639</v>
      </c>
      <c r="Q71" s="28">
        <f t="shared" si="71"/>
        <v>56882</v>
      </c>
      <c r="R71" s="28">
        <f t="shared" si="71"/>
        <v>76050</v>
      </c>
      <c r="S71" s="28">
        <f t="shared" ref="S71:T81" si="72">S45+S58</f>
        <v>20158</v>
      </c>
      <c r="T71" s="28">
        <f t="shared" si="72"/>
        <v>40534</v>
      </c>
      <c r="U71" s="28">
        <f t="shared" ref="U71:AJ80" si="73">U45+U58</f>
        <v>60842</v>
      </c>
      <c r="V71" s="28">
        <f t="shared" si="73"/>
        <v>79114</v>
      </c>
      <c r="W71" s="28">
        <f t="shared" si="73"/>
        <v>18715.730240000001</v>
      </c>
      <c r="X71" s="28">
        <f t="shared" si="73"/>
        <v>37341.313979999999</v>
      </c>
      <c r="Y71" s="28">
        <f t="shared" si="73"/>
        <v>56541.211490000002</v>
      </c>
      <c r="Z71" s="28">
        <f t="shared" si="73"/>
        <v>74517.215959999987</v>
      </c>
      <c r="AA71" s="28">
        <f t="shared" si="73"/>
        <v>18970.078550000002</v>
      </c>
      <c r="AB71" s="28">
        <f t="shared" si="73"/>
        <v>37848.75647</v>
      </c>
      <c r="AC71" s="28">
        <f t="shared" si="73"/>
        <v>60039.302520000012</v>
      </c>
      <c r="AD71" s="28">
        <f t="shared" si="73"/>
        <v>82224.231830000004</v>
      </c>
      <c r="AE71" s="28">
        <f t="shared" si="73"/>
        <v>40780</v>
      </c>
      <c r="AF71" s="28">
        <f t="shared" si="73"/>
        <v>67609</v>
      </c>
      <c r="AG71" s="28">
        <f t="shared" si="73"/>
        <v>97233</v>
      </c>
      <c r="AH71" s="28">
        <f t="shared" si="73"/>
        <v>125447</v>
      </c>
      <c r="AI71" s="28">
        <f t="shared" si="73"/>
        <v>37730</v>
      </c>
      <c r="AJ71" s="28">
        <f t="shared" si="73"/>
        <v>65575</v>
      </c>
      <c r="AK71" s="28">
        <f t="shared" ref="AK71:AS80" si="74">AK45+AK58</f>
        <v>91277</v>
      </c>
      <c r="AL71" s="28">
        <f t="shared" si="74"/>
        <v>114836</v>
      </c>
      <c r="AM71" s="28">
        <f t="shared" si="74"/>
        <v>19303</v>
      </c>
      <c r="AN71" s="28">
        <f t="shared" si="74"/>
        <v>37658</v>
      </c>
      <c r="AO71" s="28">
        <f t="shared" si="74"/>
        <v>56033</v>
      </c>
      <c r="AP71" s="28">
        <f t="shared" si="74"/>
        <v>72994</v>
      </c>
      <c r="AQ71" s="28">
        <f t="shared" si="74"/>
        <v>17423</v>
      </c>
      <c r="AR71" s="28">
        <f t="shared" si="74"/>
        <v>34134</v>
      </c>
      <c r="AS71" s="28">
        <f t="shared" si="74"/>
        <v>51999</v>
      </c>
      <c r="AT71" s="28">
        <f t="shared" ref="AT71:AU72" si="75">AT45+AT58</f>
        <v>67085</v>
      </c>
      <c r="AU71" s="28">
        <f t="shared" si="75"/>
        <v>15500</v>
      </c>
    </row>
    <row r="72" spans="1:66" ht="36">
      <c r="A72" s="49" t="s">
        <v>34</v>
      </c>
      <c r="B72" s="52" t="s">
        <v>74</v>
      </c>
      <c r="C72" s="29">
        <f>C46+C59</f>
        <v>10876</v>
      </c>
      <c r="D72" s="29">
        <f>D46+D59</f>
        <v>22227</v>
      </c>
      <c r="E72" s="29">
        <f>E46+E59</f>
        <v>33627</v>
      </c>
      <c r="F72" s="29">
        <f t="shared" si="71"/>
        <v>45331</v>
      </c>
      <c r="G72" s="29">
        <f t="shared" si="71"/>
        <v>11230</v>
      </c>
      <c r="H72" s="29">
        <f t="shared" si="71"/>
        <v>23133</v>
      </c>
      <c r="I72" s="29">
        <f t="shared" si="71"/>
        <v>35081</v>
      </c>
      <c r="J72" s="29">
        <f t="shared" si="71"/>
        <v>47699</v>
      </c>
      <c r="K72" s="29">
        <f t="shared" si="71"/>
        <v>12063</v>
      </c>
      <c r="L72" s="29">
        <f t="shared" si="71"/>
        <v>25025</v>
      </c>
      <c r="M72" s="29">
        <f t="shared" si="71"/>
        <v>38070</v>
      </c>
      <c r="N72" s="29">
        <f t="shared" si="71"/>
        <v>51531</v>
      </c>
      <c r="O72" s="29">
        <f t="shared" si="71"/>
        <v>13272</v>
      </c>
      <c r="P72" s="29">
        <f t="shared" si="71"/>
        <v>27644</v>
      </c>
      <c r="Q72" s="29">
        <f t="shared" si="71"/>
        <v>42900</v>
      </c>
      <c r="R72" s="29">
        <f t="shared" si="71"/>
        <v>59155</v>
      </c>
      <c r="S72" s="29">
        <f t="shared" si="72"/>
        <v>17405</v>
      </c>
      <c r="T72" s="29">
        <f t="shared" si="72"/>
        <v>34205</v>
      </c>
      <c r="U72" s="29">
        <f t="shared" si="73"/>
        <v>50958</v>
      </c>
      <c r="V72" s="29">
        <f t="shared" si="73"/>
        <v>68275</v>
      </c>
      <c r="W72" s="29">
        <f t="shared" si="73"/>
        <v>16413.442999999999</v>
      </c>
      <c r="X72" s="29">
        <f t="shared" si="73"/>
        <v>34175.212</v>
      </c>
      <c r="Y72" s="29">
        <f t="shared" si="73"/>
        <v>52209.362999999998</v>
      </c>
      <c r="Z72" s="29">
        <f t="shared" si="73"/>
        <v>69068.909999999989</v>
      </c>
      <c r="AA72" s="29">
        <f t="shared" si="73"/>
        <v>15425.972000000002</v>
      </c>
      <c r="AB72" s="29">
        <f t="shared" si="73"/>
        <v>30076.184000000001</v>
      </c>
      <c r="AC72" s="29">
        <f t="shared" si="73"/>
        <v>46556.474999999999</v>
      </c>
      <c r="AD72" s="29">
        <f t="shared" si="73"/>
        <v>63128.039000000004</v>
      </c>
      <c r="AE72" s="29">
        <f t="shared" si="73"/>
        <v>17332</v>
      </c>
      <c r="AF72" s="29">
        <f t="shared" si="73"/>
        <v>35458</v>
      </c>
      <c r="AG72" s="29">
        <f t="shared" si="73"/>
        <v>54400</v>
      </c>
      <c r="AH72" s="29">
        <f t="shared" si="73"/>
        <v>74245</v>
      </c>
      <c r="AI72" s="29">
        <f t="shared" si="73"/>
        <v>20097</v>
      </c>
      <c r="AJ72" s="29">
        <f t="shared" si="73"/>
        <v>41829</v>
      </c>
      <c r="AK72" s="29">
        <f t="shared" si="74"/>
        <v>63350</v>
      </c>
      <c r="AL72" s="29">
        <f t="shared" si="74"/>
        <v>86017</v>
      </c>
      <c r="AM72" s="29">
        <f t="shared" si="74"/>
        <v>21680</v>
      </c>
      <c r="AN72" s="29">
        <f t="shared" si="74"/>
        <v>44353</v>
      </c>
      <c r="AO72" s="29">
        <f t="shared" si="74"/>
        <v>66990</v>
      </c>
      <c r="AP72" s="29">
        <f t="shared" si="74"/>
        <v>90046</v>
      </c>
      <c r="AQ72" s="29">
        <f t="shared" si="74"/>
        <v>22833</v>
      </c>
      <c r="AR72" s="29">
        <f t="shared" si="74"/>
        <v>47323</v>
      </c>
      <c r="AS72" s="29">
        <f t="shared" si="74"/>
        <v>72271</v>
      </c>
      <c r="AT72" s="29">
        <f t="shared" ref="AT72" si="76">AT46+AT59</f>
        <v>97549</v>
      </c>
      <c r="AU72" s="29">
        <f t="shared" si="75"/>
        <v>24679</v>
      </c>
    </row>
    <row r="73" spans="1:66">
      <c r="A73" s="49" t="s">
        <v>25</v>
      </c>
      <c r="B73" s="52" t="s">
        <v>75</v>
      </c>
      <c r="C73" s="29">
        <f t="shared" si="71"/>
        <v>19378</v>
      </c>
      <c r="D73" s="29">
        <f t="shared" si="71"/>
        <v>36320</v>
      </c>
      <c r="E73" s="29">
        <f t="shared" si="71"/>
        <v>52641</v>
      </c>
      <c r="F73" s="29">
        <f t="shared" si="71"/>
        <v>71873</v>
      </c>
      <c r="G73" s="29">
        <f t="shared" si="71"/>
        <v>25233</v>
      </c>
      <c r="H73" s="29">
        <f t="shared" si="71"/>
        <v>48678</v>
      </c>
      <c r="I73" s="29">
        <f t="shared" si="71"/>
        <v>74865</v>
      </c>
      <c r="J73" s="29">
        <f t="shared" si="71"/>
        <v>99880</v>
      </c>
      <c r="K73" s="29">
        <f t="shared" si="71"/>
        <v>31026</v>
      </c>
      <c r="L73" s="29">
        <f t="shared" si="71"/>
        <v>60526</v>
      </c>
      <c r="M73" s="29">
        <f t="shared" si="71"/>
        <v>89841</v>
      </c>
      <c r="N73" s="29">
        <f t="shared" si="71"/>
        <v>121121</v>
      </c>
      <c r="O73" s="29">
        <f t="shared" si="71"/>
        <v>34634</v>
      </c>
      <c r="P73" s="29">
        <f t="shared" si="71"/>
        <v>66249</v>
      </c>
      <c r="Q73" s="29">
        <f t="shared" si="71"/>
        <v>99031</v>
      </c>
      <c r="R73" s="29">
        <f t="shared" si="71"/>
        <v>132279</v>
      </c>
      <c r="S73" s="29">
        <f t="shared" si="72"/>
        <v>34622</v>
      </c>
      <c r="T73" s="29">
        <f t="shared" si="72"/>
        <v>67225</v>
      </c>
      <c r="U73" s="29">
        <f t="shared" si="73"/>
        <v>98993</v>
      </c>
      <c r="V73" s="29">
        <f t="shared" si="73"/>
        <v>135694</v>
      </c>
      <c r="W73" s="29">
        <f t="shared" si="73"/>
        <v>36263.404160000006</v>
      </c>
      <c r="X73" s="29">
        <f t="shared" si="73"/>
        <v>72840.898589999997</v>
      </c>
      <c r="Y73" s="29">
        <f t="shared" si="73"/>
        <v>114340.34707999998</v>
      </c>
      <c r="Z73" s="29">
        <f t="shared" si="73"/>
        <v>160949.04795999997</v>
      </c>
      <c r="AA73" s="29">
        <f t="shared" si="73"/>
        <v>41203.766550000008</v>
      </c>
      <c r="AB73" s="29">
        <f t="shared" si="73"/>
        <v>77062.568310000002</v>
      </c>
      <c r="AC73" s="29">
        <f t="shared" si="73"/>
        <v>115499.52108000001</v>
      </c>
      <c r="AD73" s="29">
        <f t="shared" si="73"/>
        <v>157966.23930000002</v>
      </c>
      <c r="AE73" s="29">
        <f t="shared" si="73"/>
        <v>43567</v>
      </c>
      <c r="AF73" s="29">
        <f t="shared" si="73"/>
        <v>90668</v>
      </c>
      <c r="AG73" s="29">
        <f t="shared" si="73"/>
        <v>134535</v>
      </c>
      <c r="AH73" s="29">
        <f t="shared" si="73"/>
        <v>184307</v>
      </c>
      <c r="AI73" s="29">
        <f t="shared" si="73"/>
        <v>53368</v>
      </c>
      <c r="AJ73" s="29">
        <f t="shared" si="73"/>
        <v>103823</v>
      </c>
      <c r="AK73" s="29">
        <f t="shared" si="74"/>
        <v>132491</v>
      </c>
      <c r="AL73" s="29">
        <f t="shared" si="74"/>
        <v>177609</v>
      </c>
      <c r="AM73" s="29">
        <f t="shared" si="74"/>
        <v>46897</v>
      </c>
      <c r="AN73" s="29">
        <f t="shared" si="74"/>
        <v>90963</v>
      </c>
      <c r="AO73" s="29">
        <f t="shared" si="74"/>
        <v>135957</v>
      </c>
      <c r="AP73" s="29">
        <f t="shared" si="74"/>
        <v>184961</v>
      </c>
      <c r="AQ73" s="29">
        <f t="shared" si="74"/>
        <v>46194</v>
      </c>
      <c r="AR73" s="29">
        <f t="shared" si="74"/>
        <v>90378</v>
      </c>
      <c r="AS73" s="29">
        <f t="shared" si="74"/>
        <v>126937</v>
      </c>
      <c r="AT73" s="29">
        <f t="shared" ref="AT73" si="77">AT47+AT60</f>
        <v>167281</v>
      </c>
      <c r="AU73" s="29">
        <f>AU47+AU60</f>
        <v>40842</v>
      </c>
    </row>
    <row r="74" spans="1:66">
      <c r="A74" s="49" t="s">
        <v>26</v>
      </c>
      <c r="B74" s="52" t="s">
        <v>76</v>
      </c>
      <c r="C74" s="29">
        <f t="shared" si="71"/>
        <v>3602</v>
      </c>
      <c r="D74" s="29">
        <f t="shared" si="71"/>
        <v>6722</v>
      </c>
      <c r="E74" s="29">
        <f t="shared" si="71"/>
        <v>9713</v>
      </c>
      <c r="F74" s="29">
        <f t="shared" si="71"/>
        <v>12779</v>
      </c>
      <c r="G74" s="29">
        <f t="shared" si="71"/>
        <v>3576</v>
      </c>
      <c r="H74" s="29">
        <f t="shared" si="71"/>
        <v>6595</v>
      </c>
      <c r="I74" s="29">
        <f t="shared" si="71"/>
        <v>9497</v>
      </c>
      <c r="J74" s="29">
        <f t="shared" si="71"/>
        <v>12517</v>
      </c>
      <c r="K74" s="29">
        <f t="shared" si="71"/>
        <v>3748</v>
      </c>
      <c r="L74" s="29">
        <f t="shared" si="71"/>
        <v>6669</v>
      </c>
      <c r="M74" s="29">
        <f t="shared" si="71"/>
        <v>9286</v>
      </c>
      <c r="N74" s="29">
        <f t="shared" si="71"/>
        <v>12261</v>
      </c>
      <c r="O74" s="29">
        <f t="shared" si="71"/>
        <v>3640</v>
      </c>
      <c r="P74" s="29">
        <f t="shared" si="71"/>
        <v>6539</v>
      </c>
      <c r="Q74" s="29">
        <f t="shared" si="71"/>
        <v>9410</v>
      </c>
      <c r="R74" s="29">
        <f t="shared" si="71"/>
        <v>12158</v>
      </c>
      <c r="S74" s="29">
        <f t="shared" si="72"/>
        <v>3810</v>
      </c>
      <c r="T74" s="29">
        <f t="shared" si="72"/>
        <v>7165</v>
      </c>
      <c r="U74" s="29">
        <f t="shared" si="73"/>
        <v>10775</v>
      </c>
      <c r="V74" s="29">
        <f t="shared" si="73"/>
        <v>15172</v>
      </c>
      <c r="W74" s="29">
        <f t="shared" si="73"/>
        <v>3569.0448099999999</v>
      </c>
      <c r="X74" s="29">
        <f t="shared" si="73"/>
        <v>6737.7462599999999</v>
      </c>
      <c r="Y74" s="29">
        <f t="shared" si="73"/>
        <v>10261.76326</v>
      </c>
      <c r="Z74" s="29">
        <f t="shared" si="73"/>
        <v>13790.09793</v>
      </c>
      <c r="AA74" s="29">
        <f t="shared" si="73"/>
        <v>3759.0601299999998</v>
      </c>
      <c r="AB74" s="29">
        <f t="shared" si="73"/>
        <v>6950.55825</v>
      </c>
      <c r="AC74" s="29">
        <f t="shared" si="73"/>
        <v>10333.08546</v>
      </c>
      <c r="AD74" s="29">
        <f t="shared" si="73"/>
        <v>13798.77382</v>
      </c>
      <c r="AE74" s="29">
        <f t="shared" si="73"/>
        <v>3229</v>
      </c>
      <c r="AF74" s="29">
        <f t="shared" si="73"/>
        <v>6659</v>
      </c>
      <c r="AG74" s="29">
        <f t="shared" si="73"/>
        <v>9928</v>
      </c>
      <c r="AH74" s="29">
        <f t="shared" si="73"/>
        <v>13425</v>
      </c>
      <c r="AI74" s="29">
        <f t="shared" si="73"/>
        <v>3876</v>
      </c>
      <c r="AJ74" s="29">
        <f t="shared" si="73"/>
        <v>7062</v>
      </c>
      <c r="AK74" s="29">
        <f t="shared" si="74"/>
        <v>10463</v>
      </c>
      <c r="AL74" s="29">
        <f t="shared" si="74"/>
        <v>14325</v>
      </c>
      <c r="AM74" s="29">
        <f t="shared" si="74"/>
        <v>3809</v>
      </c>
      <c r="AN74" s="29">
        <f t="shared" si="74"/>
        <v>7213</v>
      </c>
      <c r="AO74" s="29">
        <f t="shared" si="74"/>
        <v>10825</v>
      </c>
      <c r="AP74" s="29">
        <f t="shared" si="74"/>
        <v>14393</v>
      </c>
      <c r="AQ74" s="29">
        <f t="shared" si="74"/>
        <v>3602</v>
      </c>
      <c r="AR74" s="29">
        <f t="shared" si="74"/>
        <v>6870</v>
      </c>
      <c r="AS74" s="29">
        <f t="shared" si="74"/>
        <v>10237</v>
      </c>
      <c r="AT74" s="29">
        <f t="shared" ref="AT74:AU80" si="78">AT48+AT61</f>
        <v>13698</v>
      </c>
      <c r="AU74" s="29">
        <f t="shared" si="78"/>
        <v>3401</v>
      </c>
    </row>
    <row r="75" spans="1:66">
      <c r="A75" s="49" t="s">
        <v>27</v>
      </c>
      <c r="B75" s="52" t="s">
        <v>77</v>
      </c>
      <c r="C75" s="29">
        <f t="shared" si="71"/>
        <v>37848</v>
      </c>
      <c r="D75" s="29">
        <f t="shared" si="71"/>
        <v>77227</v>
      </c>
      <c r="E75" s="29">
        <f t="shared" si="71"/>
        <v>102913</v>
      </c>
      <c r="F75" s="29">
        <f t="shared" si="71"/>
        <v>128382</v>
      </c>
      <c r="G75" s="29">
        <f t="shared" si="71"/>
        <v>18570</v>
      </c>
      <c r="H75" s="29">
        <f t="shared" si="71"/>
        <v>37146</v>
      </c>
      <c r="I75" s="29">
        <f t="shared" si="71"/>
        <v>55875</v>
      </c>
      <c r="J75" s="29">
        <f t="shared" si="71"/>
        <v>74709</v>
      </c>
      <c r="K75" s="29">
        <f t="shared" si="71"/>
        <v>18602</v>
      </c>
      <c r="L75" s="29">
        <f t="shared" si="71"/>
        <v>37901</v>
      </c>
      <c r="M75" s="29">
        <f t="shared" si="71"/>
        <v>58307</v>
      </c>
      <c r="N75" s="29">
        <f t="shared" si="71"/>
        <v>78630</v>
      </c>
      <c r="O75" s="29">
        <f t="shared" si="71"/>
        <v>20662</v>
      </c>
      <c r="P75" s="29">
        <f t="shared" si="71"/>
        <v>41560</v>
      </c>
      <c r="Q75" s="29">
        <f t="shared" si="71"/>
        <v>63431</v>
      </c>
      <c r="R75" s="29">
        <f t="shared" si="71"/>
        <v>84484</v>
      </c>
      <c r="S75" s="29">
        <f t="shared" si="72"/>
        <v>19871</v>
      </c>
      <c r="T75" s="29">
        <f t="shared" si="72"/>
        <v>40297</v>
      </c>
      <c r="U75" s="29">
        <f t="shared" si="73"/>
        <v>63003</v>
      </c>
      <c r="V75" s="29">
        <f t="shared" si="73"/>
        <v>88447</v>
      </c>
      <c r="W75" s="29">
        <f t="shared" si="73"/>
        <v>24033.927</v>
      </c>
      <c r="X75" s="29">
        <f t="shared" si="73"/>
        <v>49193.475939999997</v>
      </c>
      <c r="Y75" s="29">
        <f t="shared" si="73"/>
        <v>73349.787909999985</v>
      </c>
      <c r="Z75" s="29">
        <f t="shared" si="73"/>
        <v>98792.95091</v>
      </c>
      <c r="AA75" s="29">
        <f t="shared" si="73"/>
        <v>27959.826999999997</v>
      </c>
      <c r="AB75" s="29">
        <f t="shared" si="73"/>
        <v>59455.026999999995</v>
      </c>
      <c r="AC75" s="29">
        <f t="shared" si="73"/>
        <v>89338.134999999995</v>
      </c>
      <c r="AD75" s="29">
        <f t="shared" si="73"/>
        <v>127572.09000000001</v>
      </c>
      <c r="AE75" s="29">
        <f t="shared" si="73"/>
        <v>30276</v>
      </c>
      <c r="AF75" s="29">
        <f t="shared" si="73"/>
        <v>68704</v>
      </c>
      <c r="AG75" s="29">
        <f t="shared" si="73"/>
        <v>106736</v>
      </c>
      <c r="AH75" s="29">
        <f t="shared" si="73"/>
        <v>149188</v>
      </c>
      <c r="AI75" s="29">
        <f t="shared" si="73"/>
        <v>36989</v>
      </c>
      <c r="AJ75" s="29">
        <f t="shared" si="73"/>
        <v>79647</v>
      </c>
      <c r="AK75" s="29">
        <f t="shared" si="74"/>
        <v>121346</v>
      </c>
      <c r="AL75" s="29">
        <f t="shared" si="74"/>
        <v>163249</v>
      </c>
      <c r="AM75" s="29">
        <f t="shared" si="74"/>
        <v>42605</v>
      </c>
      <c r="AN75" s="29">
        <f t="shared" si="74"/>
        <v>89534</v>
      </c>
      <c r="AO75" s="29">
        <f t="shared" si="74"/>
        <v>137155</v>
      </c>
      <c r="AP75" s="29">
        <f t="shared" si="74"/>
        <v>182669</v>
      </c>
      <c r="AQ75" s="29">
        <f t="shared" si="74"/>
        <v>48695</v>
      </c>
      <c r="AR75" s="29">
        <f t="shared" si="74"/>
        <v>98241</v>
      </c>
      <c r="AS75" s="29">
        <f t="shared" si="74"/>
        <v>147391</v>
      </c>
      <c r="AT75" s="29">
        <f t="shared" ref="AT75" si="79">AT49+AT62</f>
        <v>199289</v>
      </c>
      <c r="AU75" s="29">
        <f t="shared" si="78"/>
        <v>55663</v>
      </c>
    </row>
    <row r="76" spans="1:66">
      <c r="A76" s="49" t="s">
        <v>28</v>
      </c>
      <c r="B76" s="52" t="s">
        <v>78</v>
      </c>
      <c r="C76" s="29">
        <f t="shared" si="71"/>
        <v>12465</v>
      </c>
      <c r="D76" s="29">
        <f t="shared" si="71"/>
        <v>36070</v>
      </c>
      <c r="E76" s="29">
        <f t="shared" si="71"/>
        <v>60808</v>
      </c>
      <c r="F76" s="29">
        <f t="shared" si="71"/>
        <v>76166</v>
      </c>
      <c r="G76" s="29">
        <f t="shared" si="71"/>
        <v>27072</v>
      </c>
      <c r="H76" s="29">
        <f t="shared" si="71"/>
        <v>41028</v>
      </c>
      <c r="I76" s="29">
        <f t="shared" si="71"/>
        <v>62364</v>
      </c>
      <c r="J76" s="29">
        <f t="shared" si="71"/>
        <v>83397</v>
      </c>
      <c r="K76" s="29">
        <f t="shared" si="71"/>
        <v>11666</v>
      </c>
      <c r="L76" s="29">
        <f t="shared" si="71"/>
        <v>25700</v>
      </c>
      <c r="M76" s="29">
        <f t="shared" si="71"/>
        <v>45431</v>
      </c>
      <c r="N76" s="29">
        <f t="shared" si="71"/>
        <v>67452</v>
      </c>
      <c r="O76" s="29">
        <f t="shared" si="71"/>
        <v>24736</v>
      </c>
      <c r="P76" s="29">
        <f t="shared" si="71"/>
        <v>48903</v>
      </c>
      <c r="Q76" s="29">
        <f t="shared" si="71"/>
        <v>73523</v>
      </c>
      <c r="R76" s="29">
        <f t="shared" si="71"/>
        <v>98598</v>
      </c>
      <c r="S76" s="29">
        <f t="shared" si="72"/>
        <v>29978</v>
      </c>
      <c r="T76" s="29">
        <f t="shared" si="72"/>
        <v>53956</v>
      </c>
      <c r="U76" s="29">
        <f t="shared" si="73"/>
        <v>78599</v>
      </c>
      <c r="V76" s="29">
        <f t="shared" si="73"/>
        <v>102733</v>
      </c>
      <c r="W76" s="29">
        <f t="shared" si="73"/>
        <v>26698.565420000003</v>
      </c>
      <c r="X76" s="29">
        <f t="shared" si="73"/>
        <v>62737.859010000007</v>
      </c>
      <c r="Y76" s="29">
        <f t="shared" si="73"/>
        <v>98831.932679999998</v>
      </c>
      <c r="Z76" s="29">
        <f t="shared" si="73"/>
        <v>138346.07073000001</v>
      </c>
      <c r="AA76" s="29">
        <f t="shared" si="73"/>
        <v>51756.258390000003</v>
      </c>
      <c r="AB76" s="29">
        <f t="shared" si="73"/>
        <v>93278.451000000001</v>
      </c>
      <c r="AC76" s="29">
        <f t="shared" si="73"/>
        <v>123551.446</v>
      </c>
      <c r="AD76" s="29">
        <f t="shared" si="73"/>
        <v>153280.57699999999</v>
      </c>
      <c r="AE76" s="29">
        <f t="shared" si="73"/>
        <v>33774</v>
      </c>
      <c r="AF76" s="29">
        <f t="shared" si="73"/>
        <v>73246</v>
      </c>
      <c r="AG76" s="29">
        <f t="shared" si="73"/>
        <v>106034</v>
      </c>
      <c r="AH76" s="29">
        <f t="shared" si="73"/>
        <v>141788</v>
      </c>
      <c r="AI76" s="29">
        <f t="shared" si="73"/>
        <v>38672</v>
      </c>
      <c r="AJ76" s="29">
        <f t="shared" si="73"/>
        <v>77141</v>
      </c>
      <c r="AK76" s="29">
        <f t="shared" si="74"/>
        <v>116423</v>
      </c>
      <c r="AL76" s="29">
        <f t="shared" si="74"/>
        <v>163121</v>
      </c>
      <c r="AM76" s="29">
        <f t="shared" si="74"/>
        <v>46664</v>
      </c>
      <c r="AN76" s="29">
        <f t="shared" si="74"/>
        <v>91842</v>
      </c>
      <c r="AO76" s="29">
        <f t="shared" si="74"/>
        <v>124037</v>
      </c>
      <c r="AP76" s="29">
        <f t="shared" si="74"/>
        <v>155251</v>
      </c>
      <c r="AQ76" s="29">
        <f t="shared" si="74"/>
        <v>35557</v>
      </c>
      <c r="AR76" s="29">
        <f t="shared" si="74"/>
        <v>62170</v>
      </c>
      <c r="AS76" s="29">
        <f t="shared" si="74"/>
        <v>99726</v>
      </c>
      <c r="AT76" s="29">
        <f t="shared" ref="AT76" si="80">AT50+AT63</f>
        <v>120477</v>
      </c>
      <c r="AU76" s="29">
        <f t="shared" si="78"/>
        <v>8634</v>
      </c>
    </row>
    <row r="77" spans="1:66" ht="24">
      <c r="A77" s="49" t="s">
        <v>29</v>
      </c>
      <c r="B77" s="52" t="s">
        <v>79</v>
      </c>
      <c r="C77" s="29">
        <f t="shared" si="71"/>
        <v>21569</v>
      </c>
      <c r="D77" s="29">
        <f t="shared" si="71"/>
        <v>41838</v>
      </c>
      <c r="E77" s="29">
        <f t="shared" si="71"/>
        <v>63399</v>
      </c>
      <c r="F77" s="29">
        <f t="shared" si="71"/>
        <v>83788</v>
      </c>
      <c r="G77" s="29">
        <f t="shared" si="71"/>
        <v>22217</v>
      </c>
      <c r="H77" s="29">
        <f t="shared" si="71"/>
        <v>50609</v>
      </c>
      <c r="I77" s="29">
        <f t="shared" si="71"/>
        <v>72836</v>
      </c>
      <c r="J77" s="29">
        <f t="shared" si="71"/>
        <v>87383</v>
      </c>
      <c r="K77" s="29">
        <f t="shared" si="71"/>
        <v>14266</v>
      </c>
      <c r="L77" s="29">
        <f t="shared" si="71"/>
        <v>31298</v>
      </c>
      <c r="M77" s="29">
        <f t="shared" si="71"/>
        <v>52287</v>
      </c>
      <c r="N77" s="29">
        <f t="shared" si="71"/>
        <v>73615</v>
      </c>
      <c r="O77" s="29">
        <f t="shared" si="71"/>
        <v>23562</v>
      </c>
      <c r="P77" s="29">
        <f t="shared" si="71"/>
        <v>45776</v>
      </c>
      <c r="Q77" s="29">
        <f t="shared" si="71"/>
        <v>67378</v>
      </c>
      <c r="R77" s="29">
        <f t="shared" si="71"/>
        <v>89212</v>
      </c>
      <c r="S77" s="29">
        <f t="shared" si="72"/>
        <v>17636</v>
      </c>
      <c r="T77" s="29">
        <f t="shared" si="72"/>
        <v>36762</v>
      </c>
      <c r="U77" s="29">
        <f t="shared" si="73"/>
        <v>55387</v>
      </c>
      <c r="V77" s="29">
        <f t="shared" si="73"/>
        <v>68615</v>
      </c>
      <c r="W77" s="29">
        <f t="shared" si="73"/>
        <v>14893.317499999999</v>
      </c>
      <c r="X77" s="29">
        <f t="shared" si="73"/>
        <v>30837.091100000001</v>
      </c>
      <c r="Y77" s="29">
        <f t="shared" si="73"/>
        <v>46199.662599999996</v>
      </c>
      <c r="Z77" s="29">
        <f t="shared" si="73"/>
        <v>60676.63</v>
      </c>
      <c r="AA77" s="29">
        <f t="shared" si="73"/>
        <v>14431.624099999999</v>
      </c>
      <c r="AB77" s="29">
        <f t="shared" si="73"/>
        <v>28986.678800000002</v>
      </c>
      <c r="AC77" s="29">
        <f t="shared" si="73"/>
        <v>47602.3387</v>
      </c>
      <c r="AD77" s="29">
        <f t="shared" si="73"/>
        <v>65959.075200000007</v>
      </c>
      <c r="AE77" s="29">
        <f t="shared" si="73"/>
        <v>17153</v>
      </c>
      <c r="AF77" s="29">
        <f t="shared" si="73"/>
        <v>34817</v>
      </c>
      <c r="AG77" s="29">
        <f t="shared" si="73"/>
        <v>49879</v>
      </c>
      <c r="AH77" s="29">
        <f t="shared" si="73"/>
        <v>63876</v>
      </c>
      <c r="AI77" s="29">
        <f t="shared" si="73"/>
        <v>11351</v>
      </c>
      <c r="AJ77" s="29">
        <f t="shared" si="73"/>
        <v>20758</v>
      </c>
      <c r="AK77" s="29">
        <f t="shared" si="74"/>
        <v>27970</v>
      </c>
      <c r="AL77" s="29">
        <f t="shared" si="74"/>
        <v>34930</v>
      </c>
      <c r="AM77" s="29">
        <f t="shared" si="74"/>
        <v>6307</v>
      </c>
      <c r="AN77" s="29">
        <f t="shared" si="74"/>
        <v>12851</v>
      </c>
      <c r="AO77" s="29">
        <f t="shared" si="74"/>
        <v>19300</v>
      </c>
      <c r="AP77" s="29">
        <f t="shared" si="74"/>
        <v>25669</v>
      </c>
      <c r="AQ77" s="29">
        <f t="shared" si="74"/>
        <v>6867</v>
      </c>
      <c r="AR77" s="29">
        <f t="shared" si="74"/>
        <v>13836</v>
      </c>
      <c r="AS77" s="29">
        <f t="shared" si="74"/>
        <v>21083</v>
      </c>
      <c r="AT77" s="29">
        <f t="shared" ref="AT77" si="81">AT51+AT64</f>
        <v>28251</v>
      </c>
      <c r="AU77" s="29">
        <f t="shared" si="78"/>
        <v>8159</v>
      </c>
    </row>
    <row r="78" spans="1:66">
      <c r="A78" s="49" t="s">
        <v>30</v>
      </c>
      <c r="B78" s="52" t="s">
        <v>80</v>
      </c>
      <c r="C78" s="29">
        <f t="shared" si="71"/>
        <v>4765</v>
      </c>
      <c r="D78" s="29">
        <f t="shared" si="71"/>
        <v>8471</v>
      </c>
      <c r="E78" s="29">
        <f t="shared" si="71"/>
        <v>12134</v>
      </c>
      <c r="F78" s="29">
        <f t="shared" si="71"/>
        <v>16248</v>
      </c>
      <c r="G78" s="29">
        <f t="shared" si="71"/>
        <v>5756</v>
      </c>
      <c r="H78" s="29">
        <f t="shared" si="71"/>
        <v>9314</v>
      </c>
      <c r="I78" s="29">
        <f t="shared" si="71"/>
        <v>13062</v>
      </c>
      <c r="J78" s="29">
        <f t="shared" si="71"/>
        <v>17079</v>
      </c>
      <c r="K78" s="29">
        <f t="shared" si="71"/>
        <v>3573</v>
      </c>
      <c r="L78" s="29">
        <f t="shared" si="71"/>
        <v>7721</v>
      </c>
      <c r="M78" s="29">
        <f t="shared" si="71"/>
        <v>11960</v>
      </c>
      <c r="N78" s="29">
        <f t="shared" si="71"/>
        <v>16717</v>
      </c>
      <c r="O78" s="29">
        <f t="shared" si="71"/>
        <v>4793</v>
      </c>
      <c r="P78" s="29">
        <f t="shared" si="71"/>
        <v>8967</v>
      </c>
      <c r="Q78" s="29">
        <f t="shared" si="71"/>
        <v>13030</v>
      </c>
      <c r="R78" s="29">
        <f t="shared" si="71"/>
        <v>18239</v>
      </c>
      <c r="S78" s="29">
        <f t="shared" si="72"/>
        <v>3979</v>
      </c>
      <c r="T78" s="29">
        <f t="shared" si="72"/>
        <v>7957</v>
      </c>
      <c r="U78" s="29">
        <f t="shared" si="73"/>
        <v>11446</v>
      </c>
      <c r="V78" s="29">
        <f t="shared" si="73"/>
        <v>14649</v>
      </c>
      <c r="W78" s="29">
        <f t="shared" si="73"/>
        <v>2949.6473000000001</v>
      </c>
      <c r="X78" s="29">
        <f t="shared" si="73"/>
        <v>5578.6952000000001</v>
      </c>
      <c r="Y78" s="29">
        <f t="shared" si="73"/>
        <v>8270.9297999999981</v>
      </c>
      <c r="Z78" s="29">
        <f t="shared" si="73"/>
        <v>11100.430700000001</v>
      </c>
      <c r="AA78" s="29">
        <f t="shared" si="73"/>
        <v>3636.6408000000006</v>
      </c>
      <c r="AB78" s="29">
        <f t="shared" si="73"/>
        <v>7890.9946000000009</v>
      </c>
      <c r="AC78" s="29">
        <f t="shared" si="73"/>
        <v>11764.027099999999</v>
      </c>
      <c r="AD78" s="29">
        <f t="shared" si="73"/>
        <v>15838.208119999999</v>
      </c>
      <c r="AE78" s="29">
        <f t="shared" si="73"/>
        <v>4195</v>
      </c>
      <c r="AF78" s="29">
        <f t="shared" si="73"/>
        <v>7575</v>
      </c>
      <c r="AG78" s="29">
        <f t="shared" si="73"/>
        <v>10583</v>
      </c>
      <c r="AH78" s="29">
        <f t="shared" si="73"/>
        <v>14172</v>
      </c>
      <c r="AI78" s="29">
        <f t="shared" si="73"/>
        <v>4139</v>
      </c>
      <c r="AJ78" s="29">
        <f t="shared" si="73"/>
        <v>6240</v>
      </c>
      <c r="AK78" s="29">
        <f t="shared" si="74"/>
        <v>9384</v>
      </c>
      <c r="AL78" s="29">
        <f t="shared" si="74"/>
        <v>12376</v>
      </c>
      <c r="AM78" s="29">
        <f t="shared" si="74"/>
        <v>2235</v>
      </c>
      <c r="AN78" s="29">
        <f t="shared" si="74"/>
        <v>4323</v>
      </c>
      <c r="AO78" s="29">
        <f t="shared" si="74"/>
        <v>6672</v>
      </c>
      <c r="AP78" s="29">
        <f t="shared" si="74"/>
        <v>9140</v>
      </c>
      <c r="AQ78" s="29">
        <f t="shared" si="74"/>
        <v>2780</v>
      </c>
      <c r="AR78" s="29">
        <f t="shared" si="74"/>
        <v>5381</v>
      </c>
      <c r="AS78" s="29">
        <f t="shared" si="74"/>
        <v>8112</v>
      </c>
      <c r="AT78" s="29">
        <f t="shared" ref="AT78" si="82">AT52+AT65</f>
        <v>10780</v>
      </c>
      <c r="AU78" s="29">
        <f t="shared" si="78"/>
        <v>3291</v>
      </c>
    </row>
    <row r="79" spans="1:66" ht="24">
      <c r="A79" s="49" t="s">
        <v>31</v>
      </c>
      <c r="B79" s="52" t="s">
        <v>81</v>
      </c>
      <c r="C79" s="29">
        <f t="shared" si="71"/>
        <v>19992</v>
      </c>
      <c r="D79" s="29">
        <f t="shared" si="71"/>
        <v>39292</v>
      </c>
      <c r="E79" s="29">
        <f t="shared" si="71"/>
        <v>58777</v>
      </c>
      <c r="F79" s="29">
        <f t="shared" si="71"/>
        <v>77494</v>
      </c>
      <c r="G79" s="29">
        <f t="shared" si="71"/>
        <v>19025</v>
      </c>
      <c r="H79" s="29">
        <f t="shared" si="71"/>
        <v>39983</v>
      </c>
      <c r="I79" s="29">
        <f t="shared" si="71"/>
        <v>60144</v>
      </c>
      <c r="J79" s="29">
        <f t="shared" si="71"/>
        <v>79356</v>
      </c>
      <c r="K79" s="29">
        <f t="shared" si="71"/>
        <v>17434</v>
      </c>
      <c r="L79" s="29">
        <f t="shared" si="71"/>
        <v>34977</v>
      </c>
      <c r="M79" s="29">
        <f t="shared" si="71"/>
        <v>52807</v>
      </c>
      <c r="N79" s="29">
        <f t="shared" si="71"/>
        <v>71060</v>
      </c>
      <c r="O79" s="29">
        <f t="shared" si="71"/>
        <v>18792</v>
      </c>
      <c r="P79" s="29">
        <f t="shared" si="71"/>
        <v>39056</v>
      </c>
      <c r="Q79" s="29">
        <f t="shared" si="71"/>
        <v>60538</v>
      </c>
      <c r="R79" s="29">
        <f t="shared" si="71"/>
        <v>82332</v>
      </c>
      <c r="S79" s="29">
        <f t="shared" si="72"/>
        <v>21378</v>
      </c>
      <c r="T79" s="29">
        <f t="shared" si="72"/>
        <v>42453</v>
      </c>
      <c r="U79" s="29">
        <f t="shared" si="73"/>
        <v>61794</v>
      </c>
      <c r="V79" s="29">
        <f t="shared" si="73"/>
        <v>78595</v>
      </c>
      <c r="W79" s="29">
        <f t="shared" si="73"/>
        <v>16116.121799999999</v>
      </c>
      <c r="X79" s="29">
        <f t="shared" si="73"/>
        <v>33079.404999999999</v>
      </c>
      <c r="Y79" s="29">
        <f t="shared" si="73"/>
        <v>49066.815199999997</v>
      </c>
      <c r="Z79" s="29">
        <f t="shared" si="73"/>
        <v>65357.208999999988</v>
      </c>
      <c r="AA79" s="29">
        <f t="shared" si="73"/>
        <v>14497.685700000002</v>
      </c>
      <c r="AB79" s="29">
        <f t="shared" si="73"/>
        <v>26767.527399999999</v>
      </c>
      <c r="AC79" s="29">
        <f t="shared" si="73"/>
        <v>40927.288400000005</v>
      </c>
      <c r="AD79" s="29">
        <f t="shared" si="73"/>
        <v>56524.329100000003</v>
      </c>
      <c r="AE79" s="29">
        <f t="shared" si="73"/>
        <v>12504</v>
      </c>
      <c r="AF79" s="29">
        <f t="shared" si="73"/>
        <v>27236</v>
      </c>
      <c r="AG79" s="29">
        <f t="shared" si="73"/>
        <v>43616</v>
      </c>
      <c r="AH79" s="29">
        <f t="shared" si="73"/>
        <v>61015</v>
      </c>
      <c r="AI79" s="29">
        <f t="shared" si="73"/>
        <v>13440</v>
      </c>
      <c r="AJ79" s="29">
        <f t="shared" si="73"/>
        <v>24346</v>
      </c>
      <c r="AK79" s="29">
        <f t="shared" si="74"/>
        <v>34600</v>
      </c>
      <c r="AL79" s="29">
        <f t="shared" si="74"/>
        <v>44348</v>
      </c>
      <c r="AM79" s="29">
        <f t="shared" si="74"/>
        <v>11659</v>
      </c>
      <c r="AN79" s="29">
        <f t="shared" si="74"/>
        <v>24388</v>
      </c>
      <c r="AO79" s="29">
        <f t="shared" si="74"/>
        <v>38492</v>
      </c>
      <c r="AP79" s="29">
        <f t="shared" si="74"/>
        <v>53121</v>
      </c>
      <c r="AQ79" s="29">
        <f t="shared" si="74"/>
        <v>16073</v>
      </c>
      <c r="AR79" s="29">
        <f t="shared" si="74"/>
        <v>34123</v>
      </c>
      <c r="AS79" s="29">
        <f t="shared" si="74"/>
        <v>54482</v>
      </c>
      <c r="AT79" s="29">
        <f t="shared" ref="AT79" si="83">AT53+AT66</f>
        <v>76334</v>
      </c>
      <c r="AU79" s="29">
        <f t="shared" si="78"/>
        <v>22494</v>
      </c>
    </row>
    <row r="80" spans="1:66" ht="12.5" thickBot="1">
      <c r="A80" s="49" t="s">
        <v>32</v>
      </c>
      <c r="B80" s="52" t="s">
        <v>82</v>
      </c>
      <c r="C80" s="29">
        <f t="shared" si="71"/>
        <v>2068</v>
      </c>
      <c r="D80" s="29">
        <f t="shared" si="71"/>
        <v>4292</v>
      </c>
      <c r="E80" s="29">
        <f t="shared" si="71"/>
        <v>6340</v>
      </c>
      <c r="F80" s="29">
        <f t="shared" si="71"/>
        <v>8122</v>
      </c>
      <c r="G80" s="29">
        <f t="shared" si="71"/>
        <v>2386</v>
      </c>
      <c r="H80" s="29">
        <f t="shared" si="71"/>
        <v>4712</v>
      </c>
      <c r="I80" s="29">
        <f t="shared" si="71"/>
        <v>6903</v>
      </c>
      <c r="J80" s="29">
        <f t="shared" si="71"/>
        <v>9372</v>
      </c>
      <c r="K80" s="29">
        <f t="shared" si="71"/>
        <v>2270</v>
      </c>
      <c r="L80" s="29">
        <f t="shared" si="71"/>
        <v>4300</v>
      </c>
      <c r="M80" s="29">
        <f t="shared" si="71"/>
        <v>6487</v>
      </c>
      <c r="N80" s="29">
        <f t="shared" si="71"/>
        <v>8786</v>
      </c>
      <c r="O80" s="29">
        <f t="shared" si="71"/>
        <v>2672</v>
      </c>
      <c r="P80" s="29">
        <f t="shared" si="71"/>
        <v>5302</v>
      </c>
      <c r="Q80" s="29">
        <f t="shared" si="71"/>
        <v>8050</v>
      </c>
      <c r="R80" s="29">
        <f t="shared" si="71"/>
        <v>11046</v>
      </c>
      <c r="S80" s="29">
        <f t="shared" si="72"/>
        <v>3667</v>
      </c>
      <c r="T80" s="29">
        <f t="shared" si="72"/>
        <v>6033</v>
      </c>
      <c r="U80" s="29">
        <f t="shared" si="73"/>
        <v>7703</v>
      </c>
      <c r="V80" s="29">
        <f t="shared" si="73"/>
        <v>9775</v>
      </c>
      <c r="W80" s="29">
        <f t="shared" si="73"/>
        <v>3520.8489100000338</v>
      </c>
      <c r="X80" s="29">
        <f t="shared" si="73"/>
        <v>5676.9757500003352</v>
      </c>
      <c r="Y80" s="29">
        <f t="shared" si="73"/>
        <v>7434.0787200001796</v>
      </c>
      <c r="Z80" s="29">
        <f t="shared" si="73"/>
        <v>6553.6869000004044</v>
      </c>
      <c r="AA80" s="29">
        <f t="shared" si="73"/>
        <v>2892.3723700000146</v>
      </c>
      <c r="AB80" s="29">
        <f t="shared" si="73"/>
        <v>5211.9882299997462</v>
      </c>
      <c r="AC80" s="29">
        <f t="shared" si="73"/>
        <v>7714.2530299999471</v>
      </c>
      <c r="AD80" s="29">
        <f t="shared" si="73"/>
        <v>9764.2963699998327</v>
      </c>
      <c r="AE80" s="29">
        <f t="shared" si="73"/>
        <v>1967</v>
      </c>
      <c r="AF80" s="29">
        <f t="shared" si="73"/>
        <v>2115</v>
      </c>
      <c r="AG80" s="29">
        <f t="shared" si="73"/>
        <v>2708</v>
      </c>
      <c r="AH80" s="29">
        <f t="shared" si="73"/>
        <v>3149</v>
      </c>
      <c r="AI80" s="29">
        <f t="shared" si="73"/>
        <v>1154</v>
      </c>
      <c r="AJ80" s="29">
        <f t="shared" si="73"/>
        <v>517</v>
      </c>
      <c r="AK80" s="29">
        <f t="shared" si="74"/>
        <v>-996</v>
      </c>
      <c r="AL80" s="29">
        <f t="shared" si="74"/>
        <v>-2506</v>
      </c>
      <c r="AM80" s="29">
        <f t="shared" si="74"/>
        <v>-227</v>
      </c>
      <c r="AN80" s="29">
        <f t="shared" si="74"/>
        <v>827</v>
      </c>
      <c r="AO80" s="29">
        <f t="shared" si="74"/>
        <v>-3551</v>
      </c>
      <c r="AP80" s="29">
        <f t="shared" si="74"/>
        <v>-5859</v>
      </c>
      <c r="AQ80" s="29">
        <f t="shared" si="74"/>
        <v>-442</v>
      </c>
      <c r="AR80" s="29">
        <f t="shared" si="74"/>
        <v>-2335</v>
      </c>
      <c r="AS80" s="29">
        <f t="shared" si="74"/>
        <v>-3483</v>
      </c>
      <c r="AT80" s="29">
        <f t="shared" ref="AT80" si="84">AT54+AT67</f>
        <v>-4046</v>
      </c>
      <c r="AU80" s="29">
        <f t="shared" si="78"/>
        <v>-116</v>
      </c>
    </row>
    <row r="81" spans="1:47" ht="12.5" thickBot="1">
      <c r="A81" s="50" t="s">
        <v>33</v>
      </c>
      <c r="B81" s="53" t="s">
        <v>83</v>
      </c>
      <c r="C81" s="2">
        <f t="shared" si="71"/>
        <v>155495</v>
      </c>
      <c r="D81" s="2">
        <f t="shared" si="71"/>
        <v>318584</v>
      </c>
      <c r="E81" s="2">
        <f t="shared" si="71"/>
        <v>469474</v>
      </c>
      <c r="F81" s="2">
        <f t="shared" si="71"/>
        <v>611673</v>
      </c>
      <c r="G81" s="2">
        <f t="shared" si="71"/>
        <v>156750</v>
      </c>
      <c r="H81" s="2">
        <f t="shared" si="71"/>
        <v>304139</v>
      </c>
      <c r="I81" s="2">
        <f t="shared" si="71"/>
        <v>455726</v>
      </c>
      <c r="J81" s="2">
        <f t="shared" si="71"/>
        <v>596173</v>
      </c>
      <c r="K81" s="2">
        <f t="shared" si="71"/>
        <v>134352</v>
      </c>
      <c r="L81" s="2">
        <f>L55+L68</f>
        <v>274136</v>
      </c>
      <c r="M81" s="2">
        <f t="shared" si="71"/>
        <v>424328</v>
      </c>
      <c r="N81" s="2">
        <f t="shared" si="71"/>
        <v>581024</v>
      </c>
      <c r="O81" s="2">
        <f t="shared" si="71"/>
        <v>166117</v>
      </c>
      <c r="P81" s="2">
        <f t="shared" si="71"/>
        <v>328635</v>
      </c>
      <c r="Q81" s="2">
        <f t="shared" si="71"/>
        <v>494173</v>
      </c>
      <c r="R81" s="2">
        <f t="shared" si="71"/>
        <v>663553</v>
      </c>
      <c r="S81" s="2">
        <f t="shared" si="72"/>
        <v>172504</v>
      </c>
      <c r="T81" s="2">
        <f t="shared" ref="T81:V81" si="85">SUM(T71:T80)</f>
        <v>336587</v>
      </c>
      <c r="U81" s="2">
        <f t="shared" si="85"/>
        <v>499500</v>
      </c>
      <c r="V81" s="2">
        <f t="shared" si="85"/>
        <v>661069</v>
      </c>
      <c r="W81" s="2">
        <f t="shared" ref="W81:Y81" si="86">SUM(W71:W80)</f>
        <v>163174.05014000004</v>
      </c>
      <c r="X81" s="2">
        <f t="shared" si="86"/>
        <v>338198.6728300004</v>
      </c>
      <c r="Y81" s="2">
        <f t="shared" si="86"/>
        <v>516505.89174000011</v>
      </c>
      <c r="Z81" s="2">
        <f>SUM(Z71:Z80)</f>
        <v>699152.25009000045</v>
      </c>
      <c r="AA81" s="2">
        <f t="shared" ref="AA81:AQ81" si="87">SUM(AA71:AA80)</f>
        <v>194533.28559000001</v>
      </c>
      <c r="AB81" s="2">
        <f t="shared" si="87"/>
        <v>373528.73405999976</v>
      </c>
      <c r="AC81" s="2">
        <f t="shared" si="87"/>
        <v>553325.87228999997</v>
      </c>
      <c r="AD81" s="2">
        <f t="shared" si="87"/>
        <v>746055.85973999975</v>
      </c>
      <c r="AE81" s="2">
        <f t="shared" si="87"/>
        <v>204777</v>
      </c>
      <c r="AF81" s="2">
        <f t="shared" si="87"/>
        <v>414087</v>
      </c>
      <c r="AG81" s="2">
        <f t="shared" si="87"/>
        <v>615652</v>
      </c>
      <c r="AH81" s="2">
        <f t="shared" si="87"/>
        <v>830612</v>
      </c>
      <c r="AI81" s="2">
        <f t="shared" si="87"/>
        <v>220816</v>
      </c>
      <c r="AJ81" s="2">
        <f t="shared" si="87"/>
        <v>426938</v>
      </c>
      <c r="AK81" s="2">
        <f t="shared" si="87"/>
        <v>606308</v>
      </c>
      <c r="AL81" s="2">
        <f t="shared" si="87"/>
        <v>808305</v>
      </c>
      <c r="AM81" s="2">
        <f t="shared" si="87"/>
        <v>200932</v>
      </c>
      <c r="AN81" s="2">
        <f t="shared" si="87"/>
        <v>403952</v>
      </c>
      <c r="AO81" s="2">
        <f t="shared" si="87"/>
        <v>591910</v>
      </c>
      <c r="AP81" s="2">
        <f t="shared" si="87"/>
        <v>782385</v>
      </c>
      <c r="AQ81" s="2">
        <f t="shared" si="87"/>
        <v>199582</v>
      </c>
      <c r="AR81" s="2">
        <f>SUM(AR71:AR80)</f>
        <v>390121</v>
      </c>
      <c r="AS81" s="2">
        <f>SUM(AS71:AS80)</f>
        <v>588755</v>
      </c>
      <c r="AT81" s="2">
        <f>SUM(AT71:AT80)</f>
        <v>776698</v>
      </c>
      <c r="AU81" s="2">
        <f>SUM(AU71:AU80)</f>
        <v>182547</v>
      </c>
    </row>
    <row r="83" spans="1:47"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169"/>
      <c r="AT83" s="169"/>
      <c r="AU83" s="169"/>
    </row>
    <row r="85" spans="1:47">
      <c r="AA85" s="170"/>
      <c r="AB85" s="170"/>
      <c r="AC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  <c r="AT85" s="170"/>
      <c r="AU85" s="170"/>
    </row>
    <row r="86" spans="1:47">
      <c r="AA86" s="170"/>
      <c r="AB86" s="170"/>
      <c r="AC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170"/>
      <c r="AT86" s="170"/>
      <c r="AU86" s="170"/>
    </row>
    <row r="87" spans="1:47">
      <c r="AA87" s="170"/>
      <c r="AB87" s="170"/>
      <c r="AC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70"/>
      <c r="AP87" s="170"/>
      <c r="AQ87" s="170"/>
      <c r="AR87" s="170"/>
      <c r="AS87" s="170"/>
      <c r="AT87" s="170"/>
      <c r="AU87" s="170"/>
    </row>
    <row r="88" spans="1:47">
      <c r="AA88" s="170"/>
      <c r="AB88" s="170"/>
      <c r="AC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170"/>
      <c r="AQ88" s="170"/>
      <c r="AR88" s="170"/>
      <c r="AS88" s="170"/>
      <c r="AT88" s="170"/>
      <c r="AU88" s="170"/>
    </row>
    <row r="89" spans="1:47">
      <c r="AA89" s="170"/>
      <c r="AB89" s="170"/>
      <c r="AC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70"/>
      <c r="AP89" s="170"/>
      <c r="AQ89" s="170"/>
      <c r="AR89" s="170"/>
      <c r="AS89" s="170"/>
      <c r="AT89" s="170"/>
      <c r="AU89" s="170"/>
    </row>
    <row r="90" spans="1:47">
      <c r="AA90" s="170"/>
      <c r="AB90" s="170"/>
      <c r="AC90" s="170"/>
      <c r="AE90" s="170"/>
      <c r="AF90" s="170"/>
      <c r="AG90" s="170"/>
      <c r="AH90" s="170"/>
      <c r="AI90" s="170"/>
      <c r="AJ90" s="170"/>
      <c r="AK90" s="170"/>
      <c r="AL90" s="170"/>
      <c r="AM90" s="170"/>
      <c r="AN90" s="170"/>
      <c r="AO90" s="170"/>
      <c r="AP90" s="170"/>
      <c r="AQ90" s="170"/>
      <c r="AR90" s="170"/>
      <c r="AS90" s="170"/>
      <c r="AT90" s="170"/>
      <c r="AU90" s="170"/>
    </row>
    <row r="91" spans="1:47">
      <c r="AA91" s="170"/>
      <c r="AB91" s="170"/>
      <c r="AC91" s="170"/>
      <c r="AE91" s="170"/>
      <c r="AF91" s="170"/>
      <c r="AG91" s="170"/>
      <c r="AH91" s="170"/>
      <c r="AI91" s="170"/>
      <c r="AJ91" s="170"/>
      <c r="AK91" s="170"/>
      <c r="AL91" s="170"/>
      <c r="AM91" s="170"/>
      <c r="AN91" s="170"/>
      <c r="AO91" s="170"/>
      <c r="AP91" s="170"/>
      <c r="AQ91" s="170"/>
      <c r="AR91" s="170"/>
      <c r="AS91" s="170"/>
      <c r="AT91" s="170"/>
      <c r="AU91" s="170"/>
    </row>
    <row r="92" spans="1:47">
      <c r="AA92" s="170"/>
      <c r="AB92" s="170"/>
      <c r="AC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170"/>
      <c r="AQ92" s="170"/>
      <c r="AR92" s="170"/>
      <c r="AS92" s="170"/>
      <c r="AT92" s="170"/>
      <c r="AU92" s="170"/>
    </row>
    <row r="93" spans="1:47">
      <c r="AA93" s="170"/>
      <c r="AB93" s="170"/>
      <c r="AC93" s="170"/>
      <c r="AE93" s="170"/>
      <c r="AF93" s="170"/>
      <c r="AG93" s="170"/>
      <c r="AH93" s="170"/>
      <c r="AI93" s="170"/>
      <c r="AJ93" s="170"/>
      <c r="AK93" s="170"/>
      <c r="AL93" s="170"/>
      <c r="AM93" s="170"/>
      <c r="AN93" s="170"/>
      <c r="AO93" s="170"/>
      <c r="AP93" s="170"/>
      <c r="AQ93" s="170"/>
      <c r="AR93" s="170"/>
      <c r="AS93" s="170"/>
      <c r="AT93" s="170"/>
      <c r="AU93" s="170"/>
    </row>
    <row r="94" spans="1:47">
      <c r="AA94" s="170"/>
      <c r="AB94" s="170"/>
      <c r="AC94" s="170"/>
      <c r="AE94" s="170"/>
      <c r="AF94" s="170"/>
      <c r="AG94" s="170"/>
      <c r="AH94" s="170"/>
      <c r="AI94" s="170"/>
      <c r="AJ94" s="170"/>
      <c r="AK94" s="170"/>
      <c r="AL94" s="170"/>
      <c r="AM94" s="170"/>
      <c r="AN94" s="170"/>
      <c r="AO94" s="170"/>
      <c r="AP94" s="170"/>
      <c r="AQ94" s="170"/>
      <c r="AR94" s="170"/>
      <c r="AS94" s="170"/>
      <c r="AT94" s="170"/>
      <c r="AU94" s="170"/>
    </row>
    <row r="95" spans="1:47">
      <c r="AA95" s="171"/>
      <c r="AB95" s="171"/>
      <c r="AC95" s="171"/>
      <c r="AE95" s="171"/>
      <c r="AF95" s="171"/>
      <c r="AG95" s="171"/>
      <c r="AH95" s="171"/>
      <c r="AI95" s="171"/>
      <c r="AJ95" s="171"/>
      <c r="AK95" s="171"/>
      <c r="AL95" s="171"/>
      <c r="AM95" s="171"/>
      <c r="AN95" s="171"/>
      <c r="AO95" s="171"/>
      <c r="AP95" s="171"/>
      <c r="AQ95" s="171"/>
      <c r="AR95" s="171"/>
      <c r="AS95" s="171"/>
      <c r="AT95" s="171"/>
      <c r="AU95" s="171"/>
    </row>
    <row r="97" spans="27:47">
      <c r="AA97" s="14"/>
      <c r="AB97" s="14"/>
      <c r="AC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</row>
    <row r="98" spans="27:47">
      <c r="AA98" s="14"/>
      <c r="AB98" s="14"/>
      <c r="AC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</row>
    <row r="99" spans="27:47">
      <c r="AA99" s="14"/>
      <c r="AB99" s="14"/>
      <c r="AC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</row>
    <row r="100" spans="27:47">
      <c r="AA100" s="14"/>
      <c r="AB100" s="14"/>
      <c r="AC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</row>
    <row r="101" spans="27:47">
      <c r="AA101" s="14"/>
      <c r="AB101" s="14"/>
      <c r="AC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</row>
    <row r="102" spans="27:47">
      <c r="AA102" s="14"/>
      <c r="AB102" s="14"/>
      <c r="AC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</row>
    <row r="103" spans="27:47">
      <c r="AA103" s="14"/>
      <c r="AB103" s="14"/>
      <c r="AC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</row>
    <row r="104" spans="27:47">
      <c r="AA104" s="14"/>
      <c r="AB104" s="14"/>
      <c r="AC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</row>
    <row r="105" spans="27:47">
      <c r="AA105" s="14"/>
      <c r="AB105" s="14"/>
      <c r="AC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</row>
    <row r="106" spans="27:47">
      <c r="AA106" s="14"/>
      <c r="AB106" s="14"/>
      <c r="AC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</row>
    <row r="107" spans="27:47">
      <c r="AA107" s="14"/>
      <c r="AB107" s="14"/>
      <c r="AC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</row>
  </sheetData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50"/>
  <sheetViews>
    <sheetView zoomScale="90" zoomScaleNormal="90" workbookViewId="0">
      <pane xSplit="2" ySplit="3" topLeftCell="AQ4" activePane="bottomRight" state="frozenSplit"/>
      <selection pane="topRight" activeCell="C1" sqref="C1"/>
      <selection pane="bottomLeft" activeCell="A4" sqref="A4"/>
      <selection pane="bottomRight" activeCell="A2" sqref="A2"/>
    </sheetView>
  </sheetViews>
  <sheetFormatPr defaultColWidth="8.75" defaultRowHeight="12" outlineLevelCol="1"/>
  <cols>
    <col min="1" max="1" width="40.33203125" style="1" customWidth="1"/>
    <col min="2" max="2" width="39.75" style="1" customWidth="1"/>
    <col min="3" max="6" width="12.25" style="1" hidden="1" customWidth="1" outlineLevel="1"/>
    <col min="7" max="9" width="10.75" style="1" hidden="1" customWidth="1" outlineLevel="1"/>
    <col min="10" max="10" width="11.75" style="1" hidden="1" customWidth="1" outlineLevel="1"/>
    <col min="11" max="11" width="12.08203125" style="1" hidden="1" customWidth="1" outlineLevel="1" collapsed="1"/>
    <col min="12" max="18" width="12.08203125" style="1" hidden="1" customWidth="1" outlineLevel="1"/>
    <col min="19" max="19" width="12" style="1" hidden="1" customWidth="1" collapsed="1"/>
    <col min="20" max="29" width="12" style="1" hidden="1" customWidth="1"/>
    <col min="30" max="30" width="11.08203125" style="1" hidden="1" customWidth="1"/>
    <col min="31" max="34" width="11.08203125" style="1" customWidth="1"/>
    <col min="35" max="38" width="12" style="1" customWidth="1"/>
    <col min="39" max="47" width="12.25" style="1" customWidth="1" collapsed="1"/>
    <col min="48" max="48" width="33.58203125" style="1" customWidth="1"/>
    <col min="49" max="51" width="12.25" style="1" customWidth="1"/>
    <col min="52" max="52" width="11" style="1" customWidth="1"/>
    <col min="53" max="53" width="10.33203125" style="1" customWidth="1"/>
    <col min="54" max="54" width="10.58203125" style="1" customWidth="1"/>
    <col min="55" max="59" width="11" style="1" customWidth="1"/>
    <col min="60" max="60" width="7.25" style="1" customWidth="1"/>
    <col min="61" max="61" width="6.75" style="1" customWidth="1"/>
    <col min="62" max="62" width="9.08203125" style="1" customWidth="1"/>
    <col min="63" max="63" width="10.58203125" style="1" customWidth="1"/>
    <col min="64" max="16384" width="8.75" style="1"/>
  </cols>
  <sheetData>
    <row r="1" spans="1:60" ht="15.5">
      <c r="A1" s="39" t="s">
        <v>375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G1" s="15"/>
      <c r="AH1" s="15"/>
      <c r="AI1" s="15"/>
      <c r="AJ1" s="15"/>
      <c r="AK1" s="15"/>
      <c r="AL1" s="15"/>
      <c r="AU1" s="262"/>
    </row>
    <row r="2" spans="1:60" ht="15.5">
      <c r="A2" s="39" t="s">
        <v>376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54"/>
      <c r="AG2" s="15"/>
      <c r="AH2" s="15"/>
      <c r="AI2" s="15"/>
      <c r="AJ2" s="15"/>
      <c r="AK2" s="15"/>
      <c r="AL2" s="14"/>
      <c r="AU2" s="262"/>
    </row>
    <row r="3" spans="1:60" ht="24.5" thickBot="1">
      <c r="A3" s="98" t="s">
        <v>395</v>
      </c>
      <c r="B3" s="98" t="s">
        <v>99</v>
      </c>
      <c r="C3" s="115" t="s">
        <v>115</v>
      </c>
      <c r="D3" s="115" t="s">
        <v>117</v>
      </c>
      <c r="E3" s="115" t="s">
        <v>123</v>
      </c>
      <c r="F3" s="115" t="s">
        <v>136</v>
      </c>
      <c r="G3" s="115" t="s">
        <v>140</v>
      </c>
      <c r="H3" s="115" t="s">
        <v>158</v>
      </c>
      <c r="I3" s="115" t="s">
        <v>161</v>
      </c>
      <c r="J3" s="115" t="s">
        <v>164</v>
      </c>
      <c r="K3" s="115" t="s">
        <v>166</v>
      </c>
      <c r="L3" s="115" t="s">
        <v>171</v>
      </c>
      <c r="M3" s="115" t="s">
        <v>174</v>
      </c>
      <c r="N3" s="115" t="s">
        <v>177</v>
      </c>
      <c r="O3" s="115" t="s">
        <v>179</v>
      </c>
      <c r="P3" s="115" t="s">
        <v>182</v>
      </c>
      <c r="Q3" s="115" t="s">
        <v>185</v>
      </c>
      <c r="R3" s="115" t="s">
        <v>190</v>
      </c>
      <c r="S3" s="115" t="s">
        <v>192</v>
      </c>
      <c r="T3" s="115" t="s">
        <v>263</v>
      </c>
      <c r="U3" s="115" t="s">
        <v>298</v>
      </c>
      <c r="V3" s="115" t="s">
        <v>303</v>
      </c>
      <c r="W3" s="115" t="s">
        <v>306</v>
      </c>
      <c r="X3" s="115" t="s">
        <v>316</v>
      </c>
      <c r="Y3" s="115" t="s">
        <v>320</v>
      </c>
      <c r="Z3" s="115" t="s">
        <v>329</v>
      </c>
      <c r="AA3" s="115" t="s">
        <v>400</v>
      </c>
      <c r="AB3" s="115" t="s">
        <v>470</v>
      </c>
      <c r="AC3" s="115" t="s">
        <v>475</v>
      </c>
      <c r="AD3" s="115" t="s">
        <v>484</v>
      </c>
      <c r="AE3" s="115" t="s">
        <v>489</v>
      </c>
      <c r="AF3" s="115" t="s">
        <v>493</v>
      </c>
      <c r="AG3" s="115" t="s">
        <v>505</v>
      </c>
      <c r="AH3" s="115" t="s">
        <v>510</v>
      </c>
      <c r="AI3" s="115" t="s">
        <v>515</v>
      </c>
      <c r="AJ3" s="115" t="s">
        <v>523</v>
      </c>
      <c r="AK3" s="115" t="s">
        <v>527</v>
      </c>
      <c r="AL3" s="115" t="s">
        <v>533</v>
      </c>
      <c r="AM3" s="115" t="s">
        <v>547</v>
      </c>
      <c r="AN3" s="115" t="s">
        <v>648</v>
      </c>
      <c r="AO3" s="115" t="s">
        <v>652</v>
      </c>
      <c r="AP3" s="115" t="s">
        <v>661</v>
      </c>
      <c r="AQ3" s="115" t="s">
        <v>666</v>
      </c>
      <c r="AR3" s="115" t="s">
        <v>672</v>
      </c>
      <c r="AS3" s="115" t="s">
        <v>680</v>
      </c>
      <c r="AT3" s="115" t="s">
        <v>685</v>
      </c>
      <c r="AU3" s="115" t="s">
        <v>690</v>
      </c>
    </row>
    <row r="4" spans="1:60" ht="12.5" thickBot="1">
      <c r="A4" s="55" t="s">
        <v>53</v>
      </c>
      <c r="B4" s="55" t="s">
        <v>85</v>
      </c>
      <c r="C4" s="10">
        <v>-135106</v>
      </c>
      <c r="D4" s="10">
        <v>-134915</v>
      </c>
      <c r="E4" s="10">
        <v>-139628</v>
      </c>
      <c r="F4" s="10">
        <v>-137365</v>
      </c>
      <c r="G4" s="10">
        <v>-138255</v>
      </c>
      <c r="H4" s="10">
        <v>-136908</v>
      </c>
      <c r="I4" s="10">
        <v>-135899</v>
      </c>
      <c r="J4" s="10">
        <v>-135843</v>
      </c>
      <c r="K4" s="10">
        <v>-138836</v>
      </c>
      <c r="L4" s="10">
        <v>-139078</v>
      </c>
      <c r="M4" s="10">
        <v>-139323</v>
      </c>
      <c r="N4" s="10">
        <v>-141521</v>
      </c>
      <c r="O4" s="10">
        <f>+O25</f>
        <v>-145054</v>
      </c>
      <c r="P4" s="10">
        <f>+P25-O25</f>
        <v>-149900</v>
      </c>
      <c r="Q4" s="10">
        <f>+Q25-P25</f>
        <v>-149012</v>
      </c>
      <c r="R4" s="10">
        <f>+R25-Q25</f>
        <v>-152572</v>
      </c>
      <c r="S4" s="10">
        <f>+S25</f>
        <v>-157699</v>
      </c>
      <c r="T4" s="10">
        <f>+T25-S25</f>
        <v>-158521</v>
      </c>
      <c r="U4" s="10">
        <f>+U25-T25</f>
        <v>-160967</v>
      </c>
      <c r="V4" s="10">
        <f>+V25-U25</f>
        <v>-160908</v>
      </c>
      <c r="W4" s="10">
        <f>+W25</f>
        <v>-172555</v>
      </c>
      <c r="X4" s="10">
        <f>+X25-W25</f>
        <v>-199661</v>
      </c>
      <c r="Y4" s="10">
        <f>+Y25-X25</f>
        <v>-231590</v>
      </c>
      <c r="Z4" s="10">
        <f>+Z25-Y25</f>
        <v>-232583</v>
      </c>
      <c r="AA4" s="10">
        <f>+AA25</f>
        <v>-243752</v>
      </c>
      <c r="AB4" s="10">
        <f>+AB25-AA25</f>
        <v>-207448</v>
      </c>
      <c r="AC4" s="10">
        <f>+AC25-AB25</f>
        <v>-211552</v>
      </c>
      <c r="AD4" s="10">
        <f>+AD25-AC25</f>
        <v>-193578</v>
      </c>
      <c r="AE4" s="10">
        <f>+AE25</f>
        <v>-205599</v>
      </c>
      <c r="AF4" s="10">
        <f>+AF25-AE25</f>
        <v>-205416</v>
      </c>
      <c r="AG4" s="10">
        <f>+AG25-AF25</f>
        <v>-202275</v>
      </c>
      <c r="AH4" s="10">
        <f>+AH25-AG25</f>
        <v>-202034</v>
      </c>
      <c r="AI4" s="10">
        <f>+AI25</f>
        <v>-217934</v>
      </c>
      <c r="AJ4" s="10">
        <f>+AJ25-AI25</f>
        <v>-227493</v>
      </c>
      <c r="AK4" s="10">
        <f>+AK25-AJ25</f>
        <v>-232649</v>
      </c>
      <c r="AL4" s="10">
        <f>+AL25-AK25</f>
        <v>-238066</v>
      </c>
      <c r="AM4" s="10">
        <f>+AM25</f>
        <v>-246046</v>
      </c>
      <c r="AN4" s="10">
        <f>+AN25-AM25</f>
        <v>-255792</v>
      </c>
      <c r="AO4" s="10">
        <f>+AO25-AN25</f>
        <v>-264655</v>
      </c>
      <c r="AP4" s="10">
        <f>+AP25-AO25</f>
        <v>-268145</v>
      </c>
      <c r="AQ4" s="10">
        <f>+AQ25</f>
        <v>-289343</v>
      </c>
      <c r="AR4" s="10">
        <f>+AR25-AQ25</f>
        <v>-294620</v>
      </c>
      <c r="AS4" s="10">
        <f>+AS25-AR25</f>
        <v>-303250</v>
      </c>
      <c r="AT4" s="10">
        <f>+AT25-AS25</f>
        <v>-309679</v>
      </c>
      <c r="AU4" s="10">
        <f>+AU25</f>
        <v>-321922</v>
      </c>
      <c r="AV4" s="15"/>
      <c r="AW4" s="15"/>
    </row>
    <row r="5" spans="1:60" ht="12.5" thickBot="1">
      <c r="A5" s="55" t="s">
        <v>44</v>
      </c>
      <c r="B5" s="55" t="s">
        <v>100</v>
      </c>
      <c r="C5" s="10">
        <v>-126055</v>
      </c>
      <c r="D5" s="10">
        <v>-131478</v>
      </c>
      <c r="E5" s="10">
        <v>-125305</v>
      </c>
      <c r="F5" s="10">
        <v>-126201</v>
      </c>
      <c r="G5" s="10">
        <v>-124259</v>
      </c>
      <c r="H5" s="10">
        <v>-121808</v>
      </c>
      <c r="I5" s="10">
        <v>-117500</v>
      </c>
      <c r="J5" s="10">
        <v>-126142</v>
      </c>
      <c r="K5" s="10">
        <v>-119524</v>
      </c>
      <c r="L5" s="10">
        <v>-127003</v>
      </c>
      <c r="M5" s="10">
        <v>-125453</v>
      </c>
      <c r="N5" s="10">
        <v>-126728</v>
      </c>
      <c r="O5" s="10">
        <f t="shared" ref="O5:T5" si="0">SUM(O6:O17)</f>
        <v>-156277</v>
      </c>
      <c r="P5" s="10">
        <f t="shared" si="0"/>
        <v>-129578</v>
      </c>
      <c r="Q5" s="10">
        <f t="shared" si="0"/>
        <v>-128507.80699000001</v>
      </c>
      <c r="R5" s="10">
        <f>SUM(R6:R17)</f>
        <v>-138822</v>
      </c>
      <c r="S5" s="10">
        <f t="shared" si="0"/>
        <v>-159123</v>
      </c>
      <c r="T5" s="10">
        <f t="shared" si="0"/>
        <v>-130260</v>
      </c>
      <c r="U5" s="10">
        <f>SUM(U6:U17)</f>
        <v>-141803</v>
      </c>
      <c r="V5" s="10">
        <f>SUM(V6:V17)</f>
        <v>-144484</v>
      </c>
      <c r="W5" s="10">
        <f>SUM(W6:W17)</f>
        <v>-178501</v>
      </c>
      <c r="X5" s="10">
        <f t="shared" ref="X5" si="1">SUM(X6:X17)</f>
        <v>-132271</v>
      </c>
      <c r="Y5" s="10">
        <f t="shared" ref="Y5:AM5" si="2">SUM(Y6:Y17)</f>
        <v>-194858</v>
      </c>
      <c r="Z5" s="10">
        <f t="shared" si="2"/>
        <v>-203164</v>
      </c>
      <c r="AA5" s="10">
        <f t="shared" si="2"/>
        <v>-220814</v>
      </c>
      <c r="AB5" s="10">
        <f t="shared" si="2"/>
        <v>-143798</v>
      </c>
      <c r="AC5" s="10">
        <f t="shared" si="2"/>
        <v>-148796</v>
      </c>
      <c r="AD5" s="10">
        <f t="shared" si="2"/>
        <v>-172641</v>
      </c>
      <c r="AE5" s="10">
        <f t="shared" si="2"/>
        <v>-170286</v>
      </c>
      <c r="AF5" s="10">
        <f t="shared" si="2"/>
        <v>-123888</v>
      </c>
      <c r="AG5" s="10">
        <f t="shared" si="2"/>
        <v>-149841</v>
      </c>
      <c r="AH5" s="10">
        <f t="shared" si="2"/>
        <v>-181367</v>
      </c>
      <c r="AI5" s="10">
        <f t="shared" si="2"/>
        <v>-216692</v>
      </c>
      <c r="AJ5" s="10">
        <f t="shared" si="2"/>
        <v>-396710</v>
      </c>
      <c r="AK5" s="10">
        <f t="shared" si="2"/>
        <v>-176679</v>
      </c>
      <c r="AL5" s="10">
        <f t="shared" si="2"/>
        <v>-178036</v>
      </c>
      <c r="AM5" s="10">
        <f t="shared" si="2"/>
        <v>-223248</v>
      </c>
      <c r="AN5" s="10">
        <f t="shared" ref="AN5:AS5" si="3">SUM(AN6:AN17)</f>
        <v>-139443</v>
      </c>
      <c r="AO5" s="10">
        <f t="shared" si="3"/>
        <v>-175919</v>
      </c>
      <c r="AP5" s="10">
        <f t="shared" si="3"/>
        <v>-208191</v>
      </c>
      <c r="AQ5" s="10">
        <f t="shared" si="3"/>
        <v>-254696</v>
      </c>
      <c r="AR5" s="10">
        <f t="shared" si="3"/>
        <v>-155093</v>
      </c>
      <c r="AS5" s="10">
        <f t="shared" si="3"/>
        <v>-192391</v>
      </c>
      <c r="AT5" s="10">
        <f t="shared" ref="AT5:AU5" si="4">SUM(AT6:AT17)</f>
        <v>-227372</v>
      </c>
      <c r="AU5" s="10">
        <f t="shared" si="4"/>
        <v>-289335</v>
      </c>
      <c r="AV5" s="15"/>
      <c r="AW5" s="14"/>
    </row>
    <row r="6" spans="1:60" ht="12.5" thickBot="1">
      <c r="A6" s="55" t="s">
        <v>35</v>
      </c>
      <c r="B6" s="55" t="s">
        <v>86</v>
      </c>
      <c r="C6" s="10">
        <v>-15451</v>
      </c>
      <c r="D6" s="10">
        <v>-18967</v>
      </c>
      <c r="E6" s="10">
        <v>-14081</v>
      </c>
      <c r="F6" s="10">
        <v>-15194</v>
      </c>
      <c r="G6" s="10">
        <v>-15614</v>
      </c>
      <c r="H6" s="10">
        <v>-9533</v>
      </c>
      <c r="I6" s="10">
        <v>-7873</v>
      </c>
      <c r="J6" s="10">
        <v>-11396</v>
      </c>
      <c r="K6" s="10">
        <v>-8328</v>
      </c>
      <c r="L6" s="10">
        <v>-12703</v>
      </c>
      <c r="M6" s="10">
        <v>-13270</v>
      </c>
      <c r="N6" s="10">
        <v>-9961</v>
      </c>
      <c r="O6" s="10">
        <f t="shared" ref="O6:O17" si="5">+O27</f>
        <v>-6089</v>
      </c>
      <c r="P6" s="11">
        <f t="shared" ref="P6:R17" si="6">+P27-O27</f>
        <v>-15110</v>
      </c>
      <c r="Q6" s="11">
        <f t="shared" si="6"/>
        <v>-14870</v>
      </c>
      <c r="R6" s="11">
        <f t="shared" si="6"/>
        <v>-17894</v>
      </c>
      <c r="S6" s="11">
        <f t="shared" ref="S6:S17" si="7">+S27</f>
        <v>-7583</v>
      </c>
      <c r="T6" s="11">
        <f t="shared" ref="T6:V17" si="8">+T27-S27</f>
        <v>-16374</v>
      </c>
      <c r="U6" s="11">
        <f t="shared" si="8"/>
        <v>-14432</v>
      </c>
      <c r="V6" s="11">
        <f t="shared" si="8"/>
        <v>-19667</v>
      </c>
      <c r="W6" s="11">
        <f t="shared" ref="W6:W17" si="9">+W27</f>
        <v>-6795</v>
      </c>
      <c r="X6" s="11">
        <f t="shared" ref="X6:Z17" si="10">+X27-W27</f>
        <v>-20093</v>
      </c>
      <c r="Y6" s="11">
        <f t="shared" si="10"/>
        <v>-24835</v>
      </c>
      <c r="Z6" s="11">
        <f t="shared" si="10"/>
        <v>-29101</v>
      </c>
      <c r="AA6" s="11">
        <f t="shared" ref="AA6:AA17" si="11">+AA27</f>
        <v>-14101</v>
      </c>
      <c r="AB6" s="11">
        <f t="shared" ref="AB6:AD17" si="12">+AB27-AA27</f>
        <v>-15993</v>
      </c>
      <c r="AC6" s="11">
        <f t="shared" si="12"/>
        <v>-10742</v>
      </c>
      <c r="AD6" s="11">
        <f t="shared" si="12"/>
        <v>-20982</v>
      </c>
      <c r="AE6" s="11">
        <f t="shared" ref="AE6:AE17" si="13">+AE27</f>
        <v>-12767</v>
      </c>
      <c r="AF6" s="11">
        <f t="shared" ref="AF6:AH17" si="14">+AF27-AE27</f>
        <v>-14571</v>
      </c>
      <c r="AG6" s="11">
        <f t="shared" si="14"/>
        <v>-12851</v>
      </c>
      <c r="AH6" s="11">
        <f t="shared" si="14"/>
        <v>-24370</v>
      </c>
      <c r="AI6" s="11">
        <f t="shared" ref="AI6:AI17" si="15">+AI27</f>
        <v>-15320</v>
      </c>
      <c r="AJ6" s="11">
        <f t="shared" ref="AJ6:AL17" si="16">+AJ27-AI27</f>
        <v>-19526</v>
      </c>
      <c r="AK6" s="11">
        <f t="shared" si="16"/>
        <v>-12679</v>
      </c>
      <c r="AL6" s="11">
        <f t="shared" si="16"/>
        <v>-18017</v>
      </c>
      <c r="AM6" s="11">
        <f t="shared" ref="AM6:AM17" si="17">+AM27</f>
        <v>-17806</v>
      </c>
      <c r="AN6" s="11">
        <f t="shared" ref="AN6:AP17" si="18">+AN27-AM27</f>
        <v>-14670</v>
      </c>
      <c r="AO6" s="11">
        <f t="shared" si="18"/>
        <v>-15501</v>
      </c>
      <c r="AP6" s="11">
        <f t="shared" si="18"/>
        <v>-24305</v>
      </c>
      <c r="AQ6" s="11">
        <f t="shared" ref="AQ6:AQ17" si="19">+AQ27</f>
        <v>-20092</v>
      </c>
      <c r="AR6" s="11">
        <f t="shared" ref="AR6:AT17" si="20">+AR27-AQ27</f>
        <v>-21002</v>
      </c>
      <c r="AS6" s="11">
        <f t="shared" si="20"/>
        <v>-18876</v>
      </c>
      <c r="AT6" s="11">
        <f t="shared" si="20"/>
        <v>-18334</v>
      </c>
      <c r="AU6" s="11">
        <f t="shared" ref="AU6:AU17" si="21">+AU27</f>
        <v>-19448</v>
      </c>
      <c r="AV6" s="15"/>
      <c r="AW6" s="14"/>
      <c r="AZ6" s="15"/>
      <c r="BA6" s="15"/>
      <c r="BB6" s="15"/>
      <c r="BC6" s="15"/>
      <c r="BD6" s="15"/>
      <c r="BE6" s="15"/>
      <c r="BF6" s="15"/>
      <c r="BG6" s="15"/>
      <c r="BH6" s="15"/>
    </row>
    <row r="7" spans="1:60" ht="12.5" thickBot="1">
      <c r="A7" s="55" t="s">
        <v>121</v>
      </c>
      <c r="B7" s="55" t="s">
        <v>120</v>
      </c>
      <c r="C7" s="10">
        <v>-18264.336810000001</v>
      </c>
      <c r="D7" s="10">
        <v>-17802.765090000001</v>
      </c>
      <c r="E7" s="10">
        <v>-17875.898099999999</v>
      </c>
      <c r="F7" s="10">
        <v>-16544</v>
      </c>
      <c r="G7" s="10">
        <v>-17403</v>
      </c>
      <c r="H7" s="10">
        <v>-17320</v>
      </c>
      <c r="I7" s="10">
        <v>-17670</v>
      </c>
      <c r="J7" s="10">
        <v>-17367</v>
      </c>
      <c r="K7" s="10">
        <v>-18217</v>
      </c>
      <c r="L7" s="10">
        <v>-18114</v>
      </c>
      <c r="M7" s="10">
        <v>-19002</v>
      </c>
      <c r="N7" s="10">
        <v>-19780</v>
      </c>
      <c r="O7" s="10">
        <f t="shared" si="5"/>
        <v>-18972</v>
      </c>
      <c r="P7" s="11">
        <f t="shared" si="6"/>
        <v>-19243</v>
      </c>
      <c r="Q7" s="11">
        <f t="shared" si="6"/>
        <v>-19583</v>
      </c>
      <c r="R7" s="11">
        <f t="shared" si="6"/>
        <v>-20252</v>
      </c>
      <c r="S7" s="11">
        <f t="shared" si="7"/>
        <v>-20701</v>
      </c>
      <c r="T7" s="11">
        <f t="shared" si="8"/>
        <v>-22862</v>
      </c>
      <c r="U7" s="11">
        <f t="shared" si="8"/>
        <v>-22435</v>
      </c>
      <c r="V7" s="11">
        <f t="shared" si="8"/>
        <v>-23579</v>
      </c>
      <c r="W7" s="11">
        <f t="shared" si="9"/>
        <v>-24258</v>
      </c>
      <c r="X7" s="11">
        <f t="shared" si="10"/>
        <v>-35617</v>
      </c>
      <c r="Y7" s="11">
        <f t="shared" si="10"/>
        <v>-48318</v>
      </c>
      <c r="Z7" s="11">
        <f t="shared" si="10"/>
        <v>-54012</v>
      </c>
      <c r="AA7" s="11">
        <f t="shared" si="11"/>
        <v>-34854</v>
      </c>
      <c r="AB7" s="11">
        <f t="shared" si="12"/>
        <v>-31186</v>
      </c>
      <c r="AC7" s="11">
        <f t="shared" si="12"/>
        <v>-31250</v>
      </c>
      <c r="AD7" s="11">
        <f t="shared" si="12"/>
        <v>-33699</v>
      </c>
      <c r="AE7" s="11">
        <f t="shared" si="13"/>
        <v>-29658</v>
      </c>
      <c r="AF7" s="11">
        <f t="shared" si="14"/>
        <v>-29879</v>
      </c>
      <c r="AG7" s="11">
        <f t="shared" si="14"/>
        <v>-34029</v>
      </c>
      <c r="AH7" s="11">
        <f t="shared" si="14"/>
        <v>-33365</v>
      </c>
      <c r="AI7" s="11">
        <f t="shared" si="15"/>
        <v>-31173</v>
      </c>
      <c r="AJ7" s="11">
        <f t="shared" si="16"/>
        <v>-33061</v>
      </c>
      <c r="AK7" s="11">
        <f t="shared" si="16"/>
        <v>-34629</v>
      </c>
      <c r="AL7" s="11">
        <f t="shared" si="16"/>
        <v>-39546</v>
      </c>
      <c r="AM7" s="11">
        <f t="shared" si="17"/>
        <v>-36604</v>
      </c>
      <c r="AN7" s="11">
        <f t="shared" si="18"/>
        <v>-37313</v>
      </c>
      <c r="AO7" s="11">
        <f t="shared" si="18"/>
        <v>-38659</v>
      </c>
      <c r="AP7" s="11">
        <f t="shared" si="18"/>
        <v>-45985</v>
      </c>
      <c r="AQ7" s="11">
        <f t="shared" si="19"/>
        <v>-38061</v>
      </c>
      <c r="AR7" s="11">
        <f t="shared" si="20"/>
        <v>-40299</v>
      </c>
      <c r="AS7" s="11">
        <f t="shared" si="20"/>
        <v>-44151</v>
      </c>
      <c r="AT7" s="11">
        <f t="shared" si="20"/>
        <v>-48822</v>
      </c>
      <c r="AU7" s="11">
        <f t="shared" si="21"/>
        <v>-45428</v>
      </c>
      <c r="AV7" s="15"/>
      <c r="AW7" s="14"/>
      <c r="AZ7" s="15"/>
      <c r="BA7" s="15"/>
      <c r="BB7" s="15"/>
      <c r="BC7" s="15"/>
      <c r="BD7" s="15"/>
      <c r="BE7" s="15"/>
      <c r="BF7" s="15"/>
      <c r="BG7" s="15"/>
      <c r="BH7" s="15"/>
    </row>
    <row r="8" spans="1:60" ht="12.5" thickBot="1">
      <c r="A8" s="55" t="s">
        <v>36</v>
      </c>
      <c r="B8" s="55" t="s">
        <v>87</v>
      </c>
      <c r="C8" s="10">
        <v>-45428</v>
      </c>
      <c r="D8" s="10">
        <v>-44579</v>
      </c>
      <c r="E8" s="10">
        <v>-44051</v>
      </c>
      <c r="F8" s="10">
        <v>-47705</v>
      </c>
      <c r="G8" s="10">
        <v>-43655</v>
      </c>
      <c r="H8" s="10">
        <v>-42936</v>
      </c>
      <c r="I8" s="10">
        <v>-43124</v>
      </c>
      <c r="J8" s="10">
        <v>-44710</v>
      </c>
      <c r="K8" s="10">
        <v>-44493</v>
      </c>
      <c r="L8" s="10">
        <v>-46431</v>
      </c>
      <c r="M8" s="10">
        <v>-41335</v>
      </c>
      <c r="N8" s="10">
        <v>-42630</v>
      </c>
      <c r="O8" s="10">
        <f t="shared" si="5"/>
        <v>-40960</v>
      </c>
      <c r="P8" s="11">
        <f t="shared" si="6"/>
        <v>-37763</v>
      </c>
      <c r="Q8" s="11">
        <f t="shared" si="6"/>
        <v>-39714</v>
      </c>
      <c r="R8" s="11">
        <f t="shared" si="6"/>
        <v>-38932</v>
      </c>
      <c r="S8" s="11">
        <f t="shared" si="7"/>
        <v>-36375</v>
      </c>
      <c r="T8" s="11">
        <f t="shared" si="8"/>
        <v>-37141</v>
      </c>
      <c r="U8" s="11">
        <f t="shared" si="8"/>
        <v>-36086</v>
      </c>
      <c r="V8" s="11">
        <f t="shared" si="8"/>
        <v>-36089</v>
      </c>
      <c r="W8" s="11">
        <f t="shared" si="9"/>
        <v>-18386</v>
      </c>
      <c r="X8" s="11">
        <f t="shared" si="10"/>
        <v>-18493</v>
      </c>
      <c r="Y8" s="11">
        <f t="shared" si="10"/>
        <v>-18609</v>
      </c>
      <c r="Z8" s="11">
        <f t="shared" si="10"/>
        <v>-15048</v>
      </c>
      <c r="AA8" s="11">
        <f t="shared" si="11"/>
        <v>-21081</v>
      </c>
      <c r="AB8" s="11">
        <f t="shared" si="12"/>
        <v>-19238</v>
      </c>
      <c r="AC8" s="11">
        <f t="shared" si="12"/>
        <v>-20543</v>
      </c>
      <c r="AD8" s="11">
        <f t="shared" si="12"/>
        <v>-17193</v>
      </c>
      <c r="AE8" s="11">
        <f t="shared" si="13"/>
        <v>-15907</v>
      </c>
      <c r="AF8" s="11">
        <f t="shared" si="14"/>
        <v>-12183</v>
      </c>
      <c r="AG8" s="11">
        <f t="shared" si="14"/>
        <v>-12861</v>
      </c>
      <c r="AH8" s="11">
        <f t="shared" si="14"/>
        <v>-13263</v>
      </c>
      <c r="AI8" s="11">
        <f t="shared" si="15"/>
        <v>-12511</v>
      </c>
      <c r="AJ8" s="11">
        <f t="shared" si="16"/>
        <v>-12189</v>
      </c>
      <c r="AK8" s="11">
        <f t="shared" si="16"/>
        <v>-11755</v>
      </c>
      <c r="AL8" s="11">
        <f t="shared" si="16"/>
        <v>-13845</v>
      </c>
      <c r="AM8" s="11">
        <f t="shared" si="17"/>
        <v>-18784</v>
      </c>
      <c r="AN8" s="11">
        <f t="shared" si="18"/>
        <v>-19295</v>
      </c>
      <c r="AO8" s="11">
        <f t="shared" si="18"/>
        <v>-23555</v>
      </c>
      <c r="AP8" s="11">
        <f t="shared" si="18"/>
        <v>-2125</v>
      </c>
      <c r="AQ8" s="11">
        <f t="shared" si="19"/>
        <v>-15441</v>
      </c>
      <c r="AR8" s="11">
        <f t="shared" si="20"/>
        <v>-13945</v>
      </c>
      <c r="AS8" s="11">
        <f t="shared" si="20"/>
        <v>-14250</v>
      </c>
      <c r="AT8" s="11">
        <f t="shared" si="20"/>
        <v>-13694</v>
      </c>
      <c r="AU8" s="11">
        <f t="shared" si="21"/>
        <v>-14477</v>
      </c>
      <c r="AV8" s="15"/>
      <c r="AW8" s="14"/>
      <c r="AZ8" s="15"/>
      <c r="BA8" s="15"/>
      <c r="BB8" s="15"/>
      <c r="BC8" s="15"/>
      <c r="BD8" s="15"/>
      <c r="BE8" s="15"/>
      <c r="BF8" s="15"/>
      <c r="BG8" s="15"/>
      <c r="BH8" s="15"/>
    </row>
    <row r="9" spans="1:60" ht="24.5" thickBot="1">
      <c r="A9" s="55" t="s">
        <v>37</v>
      </c>
      <c r="B9" s="55" t="s">
        <v>88</v>
      </c>
      <c r="C9" s="10">
        <v>-6054</v>
      </c>
      <c r="D9" s="10">
        <v>-6654</v>
      </c>
      <c r="E9" s="10">
        <v>-6394</v>
      </c>
      <c r="F9" s="10">
        <v>-6247</v>
      </c>
      <c r="G9" s="10">
        <v>-6703</v>
      </c>
      <c r="H9" s="10">
        <v>-6944</v>
      </c>
      <c r="I9" s="10">
        <v>-6576</v>
      </c>
      <c r="J9" s="10">
        <v>-6691</v>
      </c>
      <c r="K9" s="10">
        <v>-6477</v>
      </c>
      <c r="L9" s="10">
        <v>-6518</v>
      </c>
      <c r="M9" s="10">
        <v>-6729</v>
      </c>
      <c r="N9" s="10">
        <v>-5949</v>
      </c>
      <c r="O9" s="10">
        <f t="shared" si="5"/>
        <v>-6213</v>
      </c>
      <c r="P9" s="11">
        <f t="shared" si="6"/>
        <v>-6525</v>
      </c>
      <c r="Q9" s="11">
        <f t="shared" si="6"/>
        <v>-6380</v>
      </c>
      <c r="R9" s="11">
        <f t="shared" si="6"/>
        <v>-6682</v>
      </c>
      <c r="S9" s="11">
        <f t="shared" si="7"/>
        <v>-6590</v>
      </c>
      <c r="T9" s="11">
        <f t="shared" si="8"/>
        <v>-6677</v>
      </c>
      <c r="U9" s="11">
        <f t="shared" si="8"/>
        <v>-6924</v>
      </c>
      <c r="V9" s="11">
        <f t="shared" si="8"/>
        <v>-7817</v>
      </c>
      <c r="W9" s="11">
        <f t="shared" si="9"/>
        <v>-8627</v>
      </c>
      <c r="X9" s="11">
        <f t="shared" si="10"/>
        <v>-10122</v>
      </c>
      <c r="Y9" s="11">
        <f t="shared" si="10"/>
        <v>-11510</v>
      </c>
      <c r="Z9" s="11">
        <f t="shared" si="10"/>
        <v>-14914</v>
      </c>
      <c r="AA9" s="11">
        <f t="shared" si="11"/>
        <v>-13846</v>
      </c>
      <c r="AB9" s="11">
        <f t="shared" si="12"/>
        <v>-14564</v>
      </c>
      <c r="AC9" s="11">
        <f t="shared" si="12"/>
        <v>-10683</v>
      </c>
      <c r="AD9" s="11">
        <f t="shared" si="12"/>
        <v>-10542</v>
      </c>
      <c r="AE9" s="11">
        <f t="shared" si="13"/>
        <v>-10248</v>
      </c>
      <c r="AF9" s="11">
        <f t="shared" si="14"/>
        <v>-10023</v>
      </c>
      <c r="AG9" s="11">
        <f t="shared" si="14"/>
        <v>-9757</v>
      </c>
      <c r="AH9" s="11">
        <f t="shared" si="14"/>
        <v>-10682</v>
      </c>
      <c r="AI9" s="11">
        <f t="shared" si="15"/>
        <v>-10336</v>
      </c>
      <c r="AJ9" s="11">
        <f t="shared" si="16"/>
        <v>-10487</v>
      </c>
      <c r="AK9" s="11">
        <f t="shared" si="16"/>
        <v>-10534</v>
      </c>
      <c r="AL9" s="11">
        <f t="shared" si="16"/>
        <v>-14029</v>
      </c>
      <c r="AM9" s="11">
        <f t="shared" si="17"/>
        <v>-11714</v>
      </c>
      <c r="AN9" s="11">
        <f t="shared" si="18"/>
        <v>-12952</v>
      </c>
      <c r="AO9" s="11">
        <f t="shared" si="18"/>
        <v>-11935</v>
      </c>
      <c r="AP9" s="11">
        <f t="shared" si="18"/>
        <v>-11904</v>
      </c>
      <c r="AQ9" s="11">
        <f t="shared" si="19"/>
        <v>-12858</v>
      </c>
      <c r="AR9" s="11">
        <f t="shared" si="20"/>
        <v>-13759</v>
      </c>
      <c r="AS9" s="11">
        <f t="shared" si="20"/>
        <v>-14006</v>
      </c>
      <c r="AT9" s="11">
        <f t="shared" si="20"/>
        <v>-14378</v>
      </c>
      <c r="AU9" s="11">
        <f t="shared" si="21"/>
        <v>-13348</v>
      </c>
      <c r="AV9" s="15"/>
      <c r="AW9" s="14"/>
      <c r="AZ9" s="15"/>
      <c r="BA9" s="15"/>
      <c r="BB9" s="15"/>
      <c r="BC9" s="15"/>
      <c r="BD9" s="15"/>
      <c r="BE9" s="15"/>
      <c r="BF9" s="15"/>
      <c r="BG9" s="15"/>
      <c r="BH9" s="15"/>
    </row>
    <row r="10" spans="1:60" ht="12.5" thickBot="1">
      <c r="A10" s="55" t="s">
        <v>38</v>
      </c>
      <c r="B10" s="55" t="s">
        <v>89</v>
      </c>
      <c r="C10" s="10">
        <v>-4003</v>
      </c>
      <c r="D10" s="10">
        <v>-4328</v>
      </c>
      <c r="E10" s="10">
        <v>-4210</v>
      </c>
      <c r="F10" s="10">
        <v>-4127</v>
      </c>
      <c r="G10" s="10">
        <v>-4070</v>
      </c>
      <c r="H10" s="10">
        <v>-4022</v>
      </c>
      <c r="I10" s="10">
        <v>-4350</v>
      </c>
      <c r="J10" s="10">
        <v>-4059</v>
      </c>
      <c r="K10" s="10">
        <v>-4022</v>
      </c>
      <c r="L10" s="10">
        <v>-4220</v>
      </c>
      <c r="M10" s="10">
        <v>-4286</v>
      </c>
      <c r="N10" s="10">
        <v>-3983</v>
      </c>
      <c r="O10" s="10">
        <f t="shared" si="5"/>
        <v>-4360</v>
      </c>
      <c r="P10" s="11">
        <f t="shared" si="6"/>
        <v>-4185</v>
      </c>
      <c r="Q10" s="11">
        <f t="shared" si="6"/>
        <v>-4465</v>
      </c>
      <c r="R10" s="11">
        <f t="shared" si="6"/>
        <v>-4541</v>
      </c>
      <c r="S10" s="11">
        <f t="shared" si="7"/>
        <v>-4652</v>
      </c>
      <c r="T10" s="11">
        <f t="shared" si="8"/>
        <v>-4839</v>
      </c>
      <c r="U10" s="11">
        <f t="shared" si="8"/>
        <v>-4935</v>
      </c>
      <c r="V10" s="11">
        <f t="shared" si="8"/>
        <v>-5236</v>
      </c>
      <c r="W10" s="11">
        <f t="shared" si="9"/>
        <v>-4957</v>
      </c>
      <c r="X10" s="11">
        <f t="shared" si="10"/>
        <v>-5347</v>
      </c>
      <c r="Y10" s="11">
        <f t="shared" si="10"/>
        <v>-5185</v>
      </c>
      <c r="Z10" s="11">
        <f t="shared" si="10"/>
        <v>-5738</v>
      </c>
      <c r="AA10" s="11">
        <f t="shared" si="11"/>
        <v>-7541</v>
      </c>
      <c r="AB10" s="11">
        <f t="shared" si="12"/>
        <v>-6932</v>
      </c>
      <c r="AC10" s="11">
        <f t="shared" si="12"/>
        <v>-6251</v>
      </c>
      <c r="AD10" s="11">
        <f t="shared" si="12"/>
        <v>-6598</v>
      </c>
      <c r="AE10" s="11">
        <f t="shared" si="13"/>
        <v>-6322</v>
      </c>
      <c r="AF10" s="11">
        <f t="shared" si="14"/>
        <v>-6770</v>
      </c>
      <c r="AG10" s="11">
        <f t="shared" si="14"/>
        <v>-7405</v>
      </c>
      <c r="AH10" s="11">
        <f t="shared" si="14"/>
        <v>-7039</v>
      </c>
      <c r="AI10" s="11">
        <f t="shared" si="15"/>
        <v>-7161</v>
      </c>
      <c r="AJ10" s="11">
        <f t="shared" si="16"/>
        <v>-8451</v>
      </c>
      <c r="AK10" s="11">
        <f t="shared" si="16"/>
        <v>-8401</v>
      </c>
      <c r="AL10" s="11">
        <f t="shared" si="16"/>
        <v>-8548</v>
      </c>
      <c r="AM10" s="11">
        <f t="shared" si="17"/>
        <v>-8761</v>
      </c>
      <c r="AN10" s="11">
        <f t="shared" si="18"/>
        <v>-8722</v>
      </c>
      <c r="AO10" s="11">
        <f t="shared" si="18"/>
        <v>-8987</v>
      </c>
      <c r="AP10" s="11">
        <f t="shared" si="18"/>
        <v>-8323</v>
      </c>
      <c r="AQ10" s="11">
        <f t="shared" si="19"/>
        <v>-9150</v>
      </c>
      <c r="AR10" s="11">
        <f t="shared" si="20"/>
        <v>-9037</v>
      </c>
      <c r="AS10" s="11">
        <f t="shared" si="20"/>
        <v>-8902</v>
      </c>
      <c r="AT10" s="11">
        <f t="shared" si="20"/>
        <v>-8318</v>
      </c>
      <c r="AU10" s="11">
        <f t="shared" si="21"/>
        <v>-9168</v>
      </c>
      <c r="AV10" s="15"/>
      <c r="AW10" s="14"/>
      <c r="AZ10" s="15"/>
      <c r="BB10" s="15"/>
      <c r="BC10" s="15"/>
      <c r="BD10" s="15"/>
      <c r="BE10" s="15"/>
      <c r="BF10" s="15"/>
      <c r="BG10" s="15"/>
      <c r="BH10" s="15"/>
    </row>
    <row r="11" spans="1:60" ht="24.5" thickBot="1">
      <c r="A11" s="55" t="s">
        <v>39</v>
      </c>
      <c r="B11" s="55" t="s">
        <v>90</v>
      </c>
      <c r="C11" s="10">
        <v>-6232</v>
      </c>
      <c r="D11" s="10">
        <v>-5425</v>
      </c>
      <c r="E11" s="10">
        <v>-10031</v>
      </c>
      <c r="F11" s="10">
        <v>-2349</v>
      </c>
      <c r="G11" s="10">
        <v>-1804</v>
      </c>
      <c r="H11" s="10">
        <v>-3291</v>
      </c>
      <c r="I11" s="10">
        <v>-3581</v>
      </c>
      <c r="J11" s="10">
        <v>-3245</v>
      </c>
      <c r="K11" s="10">
        <v>-3751</v>
      </c>
      <c r="L11" s="10">
        <v>-4742</v>
      </c>
      <c r="M11" s="10">
        <v>-7097</v>
      </c>
      <c r="N11" s="10">
        <v>-6401</v>
      </c>
      <c r="O11" s="10">
        <f t="shared" si="5"/>
        <v>-5139</v>
      </c>
      <c r="P11" s="11">
        <f t="shared" si="6"/>
        <v>-7658</v>
      </c>
      <c r="Q11" s="11">
        <f t="shared" si="6"/>
        <v>-9701</v>
      </c>
      <c r="R11" s="11">
        <f t="shared" si="6"/>
        <v>-12691</v>
      </c>
      <c r="S11" s="11">
        <f t="shared" si="7"/>
        <v>-4641</v>
      </c>
      <c r="T11" s="11">
        <f t="shared" si="8"/>
        <v>-8810</v>
      </c>
      <c r="U11" s="11">
        <f t="shared" si="8"/>
        <v>-10538</v>
      </c>
      <c r="V11" s="11">
        <f t="shared" si="8"/>
        <v>-4863</v>
      </c>
      <c r="W11" s="11">
        <f t="shared" si="9"/>
        <v>-5719</v>
      </c>
      <c r="X11" s="11">
        <f t="shared" si="10"/>
        <v>-14043</v>
      </c>
      <c r="Y11" s="11">
        <f t="shared" si="10"/>
        <v>-29301</v>
      </c>
      <c r="Z11" s="11">
        <f t="shared" si="10"/>
        <v>-22444</v>
      </c>
      <c r="AA11" s="11">
        <f t="shared" si="11"/>
        <v>-5583</v>
      </c>
      <c r="AB11" s="11">
        <f t="shared" si="12"/>
        <v>-9540</v>
      </c>
      <c r="AC11" s="11">
        <f t="shared" si="12"/>
        <v>-6240</v>
      </c>
      <c r="AD11" s="11">
        <f t="shared" si="12"/>
        <v>-16408</v>
      </c>
      <c r="AE11" s="11">
        <f t="shared" si="13"/>
        <v>-11230</v>
      </c>
      <c r="AF11" s="11">
        <f t="shared" si="14"/>
        <v>-14490</v>
      </c>
      <c r="AG11" s="11">
        <f t="shared" si="14"/>
        <v>-17512</v>
      </c>
      <c r="AH11" s="11">
        <f t="shared" si="14"/>
        <v>-33872</v>
      </c>
      <c r="AI11" s="11">
        <f t="shared" si="15"/>
        <v>-17153</v>
      </c>
      <c r="AJ11" s="11">
        <f t="shared" si="16"/>
        <v>-19255</v>
      </c>
      <c r="AK11" s="11">
        <f t="shared" si="16"/>
        <v>-30696</v>
      </c>
      <c r="AL11" s="11">
        <f t="shared" si="16"/>
        <v>-30289</v>
      </c>
      <c r="AM11" s="11">
        <f t="shared" si="17"/>
        <v>-29574</v>
      </c>
      <c r="AN11" s="11">
        <f t="shared" si="18"/>
        <v>-28125</v>
      </c>
      <c r="AO11" s="11">
        <f t="shared" si="18"/>
        <v>-30922</v>
      </c>
      <c r="AP11" s="11">
        <f t="shared" si="18"/>
        <v>-60218</v>
      </c>
      <c r="AQ11" s="11">
        <f t="shared" si="19"/>
        <v>-40311</v>
      </c>
      <c r="AR11" s="11">
        <f t="shared" si="20"/>
        <v>-37301</v>
      </c>
      <c r="AS11" s="11">
        <f t="shared" si="20"/>
        <v>-39485</v>
      </c>
      <c r="AT11" s="11">
        <f t="shared" si="20"/>
        <v>-63934</v>
      </c>
      <c r="AU11" s="11">
        <f t="shared" si="21"/>
        <v>-33593</v>
      </c>
      <c r="AV11" s="15"/>
      <c r="AW11" s="14"/>
    </row>
    <row r="12" spans="1:60" ht="12.5" thickBot="1">
      <c r="A12" s="55" t="s">
        <v>40</v>
      </c>
      <c r="B12" s="55" t="s">
        <v>91</v>
      </c>
      <c r="C12" s="10">
        <v>-4076</v>
      </c>
      <c r="D12" s="10">
        <v>-4158</v>
      </c>
      <c r="E12" s="10">
        <v>-4447</v>
      </c>
      <c r="F12" s="10">
        <v>-5337</v>
      </c>
      <c r="G12" s="10">
        <v>-3984</v>
      </c>
      <c r="H12" s="10">
        <v>-4047</v>
      </c>
      <c r="I12" s="10">
        <v>-3121</v>
      </c>
      <c r="J12" s="10">
        <v>-4704</v>
      </c>
      <c r="K12" s="10">
        <v>-4118</v>
      </c>
      <c r="L12" s="10">
        <v>-4288</v>
      </c>
      <c r="M12" s="10">
        <v>-3875</v>
      </c>
      <c r="N12" s="10">
        <v>-4762</v>
      </c>
      <c r="O12" s="10">
        <f t="shared" si="5"/>
        <v>-4098</v>
      </c>
      <c r="P12" s="11">
        <f t="shared" si="6"/>
        <v>-4329</v>
      </c>
      <c r="Q12" s="11">
        <f t="shared" si="6"/>
        <v>-4560</v>
      </c>
      <c r="R12" s="11">
        <f t="shared" si="6"/>
        <v>-4334</v>
      </c>
      <c r="S12" s="11">
        <f t="shared" si="7"/>
        <v>-5092</v>
      </c>
      <c r="T12" s="11">
        <f t="shared" si="8"/>
        <v>-5923</v>
      </c>
      <c r="U12" s="11">
        <f t="shared" si="8"/>
        <v>-5923</v>
      </c>
      <c r="V12" s="11">
        <f t="shared" si="8"/>
        <v>-6323</v>
      </c>
      <c r="W12" s="11">
        <f t="shared" si="9"/>
        <v>-6111</v>
      </c>
      <c r="X12" s="11">
        <f t="shared" si="10"/>
        <v>-7292</v>
      </c>
      <c r="Y12" s="11">
        <f t="shared" si="10"/>
        <v>-8941</v>
      </c>
      <c r="Z12" s="11">
        <f t="shared" si="10"/>
        <v>-9019</v>
      </c>
      <c r="AA12" s="11">
        <f t="shared" si="11"/>
        <v>-8615</v>
      </c>
      <c r="AB12" s="11">
        <f t="shared" si="12"/>
        <v>-8509</v>
      </c>
      <c r="AC12" s="11">
        <f t="shared" si="12"/>
        <v>-7353</v>
      </c>
      <c r="AD12" s="11">
        <f t="shared" si="12"/>
        <v>-10061</v>
      </c>
      <c r="AE12" s="11">
        <f t="shared" si="13"/>
        <v>-8468</v>
      </c>
      <c r="AF12" s="11">
        <f t="shared" si="14"/>
        <v>-9310</v>
      </c>
      <c r="AG12" s="11">
        <f t="shared" si="14"/>
        <v>-8146</v>
      </c>
      <c r="AH12" s="11">
        <f t="shared" si="14"/>
        <v>-8013</v>
      </c>
      <c r="AI12" s="11">
        <f t="shared" si="15"/>
        <v>-8553</v>
      </c>
      <c r="AJ12" s="11">
        <f t="shared" si="16"/>
        <v>-10201</v>
      </c>
      <c r="AK12" s="11">
        <f t="shared" si="16"/>
        <v>-9647</v>
      </c>
      <c r="AL12" s="11">
        <f t="shared" si="16"/>
        <v>-10416</v>
      </c>
      <c r="AM12" s="11">
        <f t="shared" si="17"/>
        <v>-11473</v>
      </c>
      <c r="AN12" s="11">
        <f t="shared" si="18"/>
        <v>-11947</v>
      </c>
      <c r="AO12" s="11">
        <f t="shared" si="18"/>
        <v>-9013</v>
      </c>
      <c r="AP12" s="11">
        <f t="shared" si="18"/>
        <v>-11290</v>
      </c>
      <c r="AQ12" s="11">
        <f t="shared" si="19"/>
        <v>-11844</v>
      </c>
      <c r="AR12" s="11">
        <f t="shared" si="20"/>
        <v>-11906</v>
      </c>
      <c r="AS12" s="11">
        <f t="shared" si="20"/>
        <v>-11697</v>
      </c>
      <c r="AT12" s="11">
        <f t="shared" si="20"/>
        <v>-9760</v>
      </c>
      <c r="AU12" s="11">
        <f t="shared" si="21"/>
        <v>-12834</v>
      </c>
      <c r="AV12" s="15"/>
      <c r="AW12" s="14"/>
      <c r="AZ12" s="15"/>
      <c r="BA12" s="15"/>
      <c r="BB12" s="15"/>
      <c r="BC12" s="15"/>
      <c r="BD12" s="15"/>
      <c r="BE12" s="15"/>
      <c r="BF12" s="15"/>
      <c r="BG12" s="15"/>
      <c r="BH12" s="15"/>
    </row>
    <row r="13" spans="1:60" ht="12.5" thickBot="1">
      <c r="A13" s="55" t="s">
        <v>41</v>
      </c>
      <c r="B13" s="55" t="s">
        <v>92</v>
      </c>
      <c r="C13" s="10">
        <v>-960</v>
      </c>
      <c r="D13" s="10">
        <v>-1067</v>
      </c>
      <c r="E13" s="10">
        <v>-969</v>
      </c>
      <c r="F13" s="10">
        <v>-1020</v>
      </c>
      <c r="G13" s="10">
        <v>-969</v>
      </c>
      <c r="H13" s="10">
        <v>-1014</v>
      </c>
      <c r="I13" s="10">
        <v>-1023</v>
      </c>
      <c r="J13" s="10">
        <v>-1086</v>
      </c>
      <c r="K13" s="10">
        <v>-1033</v>
      </c>
      <c r="L13" s="10">
        <v>-1108</v>
      </c>
      <c r="M13" s="10">
        <v>-1144</v>
      </c>
      <c r="N13" s="10">
        <v>-1310</v>
      </c>
      <c r="O13" s="10">
        <f t="shared" si="5"/>
        <v>-1155</v>
      </c>
      <c r="P13" s="11">
        <f t="shared" si="6"/>
        <v>-1180</v>
      </c>
      <c r="Q13" s="11">
        <f t="shared" si="6"/>
        <v>-1211</v>
      </c>
      <c r="R13" s="11">
        <f t="shared" si="6"/>
        <v>-1230</v>
      </c>
      <c r="S13" s="11">
        <f t="shared" si="7"/>
        <v>-1294</v>
      </c>
      <c r="T13" s="11">
        <f t="shared" si="8"/>
        <v>-1380</v>
      </c>
      <c r="U13" s="11">
        <f t="shared" si="8"/>
        <v>-1413</v>
      </c>
      <c r="V13" s="11">
        <f t="shared" si="8"/>
        <v>-1502</v>
      </c>
      <c r="W13" s="11">
        <f t="shared" si="9"/>
        <v>-1377</v>
      </c>
      <c r="X13" s="11">
        <f t="shared" si="10"/>
        <v>-1848</v>
      </c>
      <c r="Y13" s="11">
        <f t="shared" si="10"/>
        <v>-2086</v>
      </c>
      <c r="Z13" s="11">
        <f t="shared" si="10"/>
        <v>-1932</v>
      </c>
      <c r="AA13" s="11">
        <f t="shared" si="11"/>
        <v>-1970</v>
      </c>
      <c r="AB13" s="11">
        <f t="shared" si="12"/>
        <v>-1912</v>
      </c>
      <c r="AC13" s="11">
        <f t="shared" si="12"/>
        <v>-1908</v>
      </c>
      <c r="AD13" s="11">
        <f t="shared" si="12"/>
        <v>-2232</v>
      </c>
      <c r="AE13" s="11">
        <f t="shared" si="13"/>
        <v>-2147</v>
      </c>
      <c r="AF13" s="11">
        <f t="shared" si="14"/>
        <v>-2292</v>
      </c>
      <c r="AG13" s="11">
        <f t="shared" si="14"/>
        <v>-2387</v>
      </c>
      <c r="AH13" s="11">
        <f t="shared" si="14"/>
        <v>-2499</v>
      </c>
      <c r="AI13" s="11">
        <f t="shared" si="15"/>
        <v>-2678</v>
      </c>
      <c r="AJ13" s="11">
        <f t="shared" si="16"/>
        <v>-2825</v>
      </c>
      <c r="AK13" s="11">
        <f t="shared" si="16"/>
        <v>-2807</v>
      </c>
      <c r="AL13" s="11">
        <f t="shared" si="16"/>
        <v>-3000</v>
      </c>
      <c r="AM13" s="11">
        <f t="shared" si="17"/>
        <v>-3042</v>
      </c>
      <c r="AN13" s="11">
        <f t="shared" si="18"/>
        <v>-3170</v>
      </c>
      <c r="AO13" s="11">
        <f t="shared" si="18"/>
        <v>-3256</v>
      </c>
      <c r="AP13" s="11">
        <f t="shared" si="18"/>
        <v>-3387</v>
      </c>
      <c r="AQ13" s="11">
        <f t="shared" si="19"/>
        <v>-3685</v>
      </c>
      <c r="AR13" s="11">
        <f t="shared" si="20"/>
        <v>-3660</v>
      </c>
      <c r="AS13" s="11">
        <f t="shared" si="20"/>
        <v>-3671</v>
      </c>
      <c r="AT13" s="11">
        <f t="shared" si="20"/>
        <v>-3798</v>
      </c>
      <c r="AU13" s="11">
        <f t="shared" si="21"/>
        <v>-4088</v>
      </c>
      <c r="AV13" s="15"/>
      <c r="AW13" s="15"/>
      <c r="AZ13" s="15"/>
      <c r="BA13" s="15"/>
      <c r="BB13" s="15"/>
      <c r="BC13" s="15"/>
      <c r="BD13" s="15"/>
      <c r="BE13" s="15"/>
      <c r="BF13" s="15"/>
      <c r="BG13" s="15"/>
      <c r="BH13" s="15"/>
    </row>
    <row r="14" spans="1:60" ht="12.5" thickBot="1">
      <c r="A14" s="55" t="s">
        <v>42</v>
      </c>
      <c r="B14" s="55" t="s">
        <v>93</v>
      </c>
      <c r="C14" s="10">
        <v>-1372</v>
      </c>
      <c r="D14" s="10">
        <v>-1424</v>
      </c>
      <c r="E14" s="10">
        <v>-1274</v>
      </c>
      <c r="F14" s="10">
        <v>-1182</v>
      </c>
      <c r="G14" s="10">
        <v>-1186</v>
      </c>
      <c r="H14" s="10">
        <v>-1320</v>
      </c>
      <c r="I14" s="10">
        <v>-1231</v>
      </c>
      <c r="J14" s="10">
        <v>-1271</v>
      </c>
      <c r="K14" s="10">
        <v>-1243</v>
      </c>
      <c r="L14" s="10">
        <v>-1194</v>
      </c>
      <c r="M14" s="10">
        <v>-1249</v>
      </c>
      <c r="N14" s="10">
        <v>-1144</v>
      </c>
      <c r="O14" s="10">
        <f t="shared" si="5"/>
        <v>-1393</v>
      </c>
      <c r="P14" s="11">
        <f t="shared" si="6"/>
        <v>-1154</v>
      </c>
      <c r="Q14" s="11">
        <f t="shared" si="6"/>
        <v>-1021</v>
      </c>
      <c r="R14" s="11">
        <f t="shared" si="6"/>
        <v>-1095</v>
      </c>
      <c r="S14" s="11">
        <f t="shared" si="7"/>
        <v>-1126</v>
      </c>
      <c r="T14" s="11">
        <f t="shared" si="8"/>
        <v>-1269</v>
      </c>
      <c r="U14" s="11">
        <f t="shared" si="8"/>
        <v>-1278</v>
      </c>
      <c r="V14" s="11">
        <f t="shared" si="8"/>
        <v>-1286</v>
      </c>
      <c r="W14" s="11">
        <f t="shared" si="9"/>
        <v>-1401</v>
      </c>
      <c r="X14" s="11">
        <f t="shared" si="10"/>
        <v>-1656</v>
      </c>
      <c r="Y14" s="11">
        <f t="shared" si="10"/>
        <v>-2183</v>
      </c>
      <c r="Z14" s="11">
        <f t="shared" si="10"/>
        <v>-2157</v>
      </c>
      <c r="AA14" s="11">
        <f t="shared" si="11"/>
        <v>-2158</v>
      </c>
      <c r="AB14" s="11">
        <f t="shared" si="12"/>
        <v>-2220</v>
      </c>
      <c r="AC14" s="11">
        <f t="shared" si="12"/>
        <v>-2109</v>
      </c>
      <c r="AD14" s="11">
        <f t="shared" si="12"/>
        <v>-1696</v>
      </c>
      <c r="AE14" s="11">
        <f t="shared" si="13"/>
        <v>-1832</v>
      </c>
      <c r="AF14" s="11">
        <f t="shared" si="14"/>
        <v>-1736</v>
      </c>
      <c r="AG14" s="11">
        <f t="shared" si="14"/>
        <v>-1802</v>
      </c>
      <c r="AH14" s="11">
        <f t="shared" si="14"/>
        <v>-1777</v>
      </c>
      <c r="AI14" s="11">
        <f t="shared" si="15"/>
        <v>-836</v>
      </c>
      <c r="AJ14" s="11">
        <f t="shared" si="16"/>
        <v>-1785</v>
      </c>
      <c r="AK14" s="11">
        <f t="shared" si="16"/>
        <v>-1874</v>
      </c>
      <c r="AL14" s="11">
        <f t="shared" si="16"/>
        <v>-2042</v>
      </c>
      <c r="AM14" s="11">
        <f t="shared" si="17"/>
        <v>-2002</v>
      </c>
      <c r="AN14" s="11">
        <f t="shared" si="18"/>
        <v>-2096</v>
      </c>
      <c r="AO14" s="11">
        <f t="shared" si="18"/>
        <v>-2249</v>
      </c>
      <c r="AP14" s="11">
        <f t="shared" si="18"/>
        <v>-2201</v>
      </c>
      <c r="AQ14" s="11">
        <f t="shared" si="19"/>
        <v>-2323</v>
      </c>
      <c r="AR14" s="11">
        <f t="shared" si="20"/>
        <v>-2372</v>
      </c>
      <c r="AS14" s="11">
        <f t="shared" si="20"/>
        <v>-2390</v>
      </c>
      <c r="AT14" s="11">
        <f t="shared" si="20"/>
        <v>-2427</v>
      </c>
      <c r="AU14" s="11">
        <f t="shared" si="21"/>
        <v>-2488</v>
      </c>
      <c r="AV14" s="15"/>
      <c r="AW14" s="15"/>
      <c r="AZ14" s="15"/>
      <c r="BA14" s="15"/>
      <c r="BB14" s="15"/>
      <c r="BC14" s="15"/>
      <c r="BD14" s="15"/>
      <c r="BE14" s="15"/>
      <c r="BF14" s="15"/>
      <c r="BG14" s="15"/>
      <c r="BH14" s="15"/>
    </row>
    <row r="15" spans="1:60" ht="24.5" thickBot="1">
      <c r="A15" s="55" t="s">
        <v>529</v>
      </c>
      <c r="B15" s="55" t="s">
        <v>530</v>
      </c>
      <c r="C15" s="4">
        <v>-8901</v>
      </c>
      <c r="D15" s="4">
        <v>-8901</v>
      </c>
      <c r="E15" s="4">
        <v>-8901</v>
      </c>
      <c r="F15" s="4">
        <v>-8901</v>
      </c>
      <c r="G15" s="4">
        <v>-16365</v>
      </c>
      <c r="H15" s="4">
        <v>-16365</v>
      </c>
      <c r="I15" s="4">
        <v>-16364</v>
      </c>
      <c r="J15" s="4">
        <v>-16365</v>
      </c>
      <c r="K15" s="4">
        <v>-15346</v>
      </c>
      <c r="L15" s="4">
        <v>-15214</v>
      </c>
      <c r="M15" s="4">
        <v>-15345</v>
      </c>
      <c r="N15" s="4">
        <v>-15016</v>
      </c>
      <c r="O15" s="4">
        <f t="shared" si="5"/>
        <v>-57069</v>
      </c>
      <c r="P15" s="5">
        <f t="shared" si="6"/>
        <v>-15871</v>
      </c>
      <c r="Q15" s="5">
        <f t="shared" si="6"/>
        <v>-13236.806990000012</v>
      </c>
      <c r="R15" s="5">
        <f t="shared" si="6"/>
        <v>-13122</v>
      </c>
      <c r="S15" s="5">
        <f t="shared" si="7"/>
        <v>-54704</v>
      </c>
      <c r="T15" s="5">
        <f t="shared" si="8"/>
        <v>-14919</v>
      </c>
      <c r="U15" s="5">
        <f t="shared" si="8"/>
        <v>-17822</v>
      </c>
      <c r="V15" s="5">
        <f t="shared" si="8"/>
        <v>-18057</v>
      </c>
      <c r="W15" s="5">
        <f t="shared" si="9"/>
        <v>-84022</v>
      </c>
      <c r="X15" s="5">
        <f t="shared" si="10"/>
        <v>-12028</v>
      </c>
      <c r="Y15" s="5">
        <f t="shared" si="10"/>
        <v>-13530</v>
      </c>
      <c r="Z15" s="5">
        <f t="shared" si="10"/>
        <v>-13888</v>
      </c>
      <c r="AA15" s="5">
        <f t="shared" si="11"/>
        <v>-85075</v>
      </c>
      <c r="AB15" s="5">
        <f t="shared" si="12"/>
        <v>-27991</v>
      </c>
      <c r="AC15" s="5">
        <f t="shared" si="12"/>
        <v>-27323</v>
      </c>
      <c r="AD15" s="5">
        <f t="shared" si="12"/>
        <v>-26801</v>
      </c>
      <c r="AE15" s="5">
        <f t="shared" si="13"/>
        <v>-53136</v>
      </c>
      <c r="AF15" s="5">
        <f t="shared" si="14"/>
        <v>-30183</v>
      </c>
      <c r="AG15" s="5">
        <f t="shared" si="14"/>
        <v>-17406</v>
      </c>
      <c r="AH15" s="5">
        <f t="shared" si="14"/>
        <v>-17492</v>
      </c>
      <c r="AI15" s="11">
        <f t="shared" si="15"/>
        <v>-85847</v>
      </c>
      <c r="AJ15" s="11">
        <f t="shared" si="16"/>
        <v>-286530</v>
      </c>
      <c r="AK15" s="11">
        <f t="shared" si="16"/>
        <v>-24429</v>
      </c>
      <c r="AL15" s="11">
        <f t="shared" si="16"/>
        <v>-430</v>
      </c>
      <c r="AM15" s="5">
        <f t="shared" si="17"/>
        <v>-83434</v>
      </c>
      <c r="AN15" s="5">
        <f t="shared" si="18"/>
        <v>23395</v>
      </c>
      <c r="AO15" s="5">
        <f t="shared" si="18"/>
        <v>0</v>
      </c>
      <c r="AP15" s="5">
        <f t="shared" si="18"/>
        <v>0</v>
      </c>
      <c r="AQ15" s="5">
        <f t="shared" si="19"/>
        <v>-60906</v>
      </c>
      <c r="AR15" s="5">
        <f t="shared" si="20"/>
        <v>56</v>
      </c>
      <c r="AS15" s="5">
        <f t="shared" si="20"/>
        <v>0</v>
      </c>
      <c r="AT15" s="5">
        <f t="shared" si="20"/>
        <v>0</v>
      </c>
      <c r="AU15" s="5">
        <f t="shared" si="21"/>
        <v>-94359</v>
      </c>
      <c r="AV15" s="15"/>
      <c r="AZ15" s="15"/>
      <c r="BA15" s="15"/>
      <c r="BB15" s="15"/>
      <c r="BC15" s="15"/>
      <c r="BD15" s="15"/>
      <c r="BE15" s="15"/>
      <c r="BF15" s="15"/>
      <c r="BG15" s="15"/>
      <c r="BH15" s="15"/>
    </row>
    <row r="16" spans="1:60" ht="12.5" thickBot="1">
      <c r="A16" s="55" t="s">
        <v>43</v>
      </c>
      <c r="B16" s="55" t="s">
        <v>94</v>
      </c>
      <c r="C16" s="10">
        <v>-1574</v>
      </c>
      <c r="D16" s="10">
        <v>-1098</v>
      </c>
      <c r="E16" s="10">
        <v>-1017</v>
      </c>
      <c r="F16" s="10">
        <v>-662</v>
      </c>
      <c r="G16" s="10">
        <v>-841</v>
      </c>
      <c r="H16" s="10">
        <v>-837</v>
      </c>
      <c r="I16" s="10">
        <v>-1205</v>
      </c>
      <c r="J16" s="10">
        <v>-1695</v>
      </c>
      <c r="K16" s="10">
        <v>-1340</v>
      </c>
      <c r="L16" s="10">
        <v>-1339</v>
      </c>
      <c r="M16" s="10">
        <v>-1261</v>
      </c>
      <c r="N16" s="10">
        <v>-742</v>
      </c>
      <c r="O16" s="10">
        <f t="shared" si="5"/>
        <v>-1257</v>
      </c>
      <c r="P16" s="11">
        <f t="shared" si="6"/>
        <v>-1281</v>
      </c>
      <c r="Q16" s="11">
        <f t="shared" si="6"/>
        <v>782</v>
      </c>
      <c r="R16" s="11">
        <f t="shared" si="6"/>
        <v>-619</v>
      </c>
      <c r="S16" s="11">
        <f t="shared" si="7"/>
        <v>-1337</v>
      </c>
      <c r="T16" s="11">
        <f t="shared" si="8"/>
        <v>-1350</v>
      </c>
      <c r="U16" s="11">
        <f t="shared" si="8"/>
        <v>-2612</v>
      </c>
      <c r="V16" s="11">
        <f t="shared" si="8"/>
        <v>-1625</v>
      </c>
      <c r="W16" s="11">
        <f t="shared" si="9"/>
        <v>-1621</v>
      </c>
      <c r="X16" s="11">
        <f t="shared" si="10"/>
        <v>-1772</v>
      </c>
      <c r="Y16" s="11">
        <f t="shared" si="10"/>
        <v>-4090</v>
      </c>
      <c r="Z16" s="11">
        <f t="shared" si="10"/>
        <v>-2867</v>
      </c>
      <c r="AA16" s="11">
        <f t="shared" si="11"/>
        <v>-2501</v>
      </c>
      <c r="AB16" s="11">
        <f t="shared" si="12"/>
        <v>-2722</v>
      </c>
      <c r="AC16" s="11">
        <f t="shared" si="12"/>
        <v>-2481</v>
      </c>
      <c r="AD16" s="11">
        <f t="shared" si="12"/>
        <v>-2579</v>
      </c>
      <c r="AE16" s="11">
        <f t="shared" si="13"/>
        <v>-3166</v>
      </c>
      <c r="AF16" s="11">
        <f t="shared" si="14"/>
        <v>-3180</v>
      </c>
      <c r="AG16" s="11">
        <f t="shared" si="14"/>
        <v>-3350</v>
      </c>
      <c r="AH16" s="11">
        <f t="shared" si="14"/>
        <v>-3080</v>
      </c>
      <c r="AI16" s="11">
        <f t="shared" si="15"/>
        <v>-3109</v>
      </c>
      <c r="AJ16" s="11">
        <f t="shared" si="16"/>
        <v>-3143</v>
      </c>
      <c r="AK16" s="11">
        <f t="shared" si="16"/>
        <v>-3338</v>
      </c>
      <c r="AL16" s="11">
        <f t="shared" si="16"/>
        <v>-3067</v>
      </c>
      <c r="AM16" s="11">
        <f t="shared" si="17"/>
        <v>-4585</v>
      </c>
      <c r="AN16" s="11">
        <f t="shared" si="18"/>
        <v>-3163</v>
      </c>
      <c r="AO16" s="11">
        <f t="shared" si="18"/>
        <v>-3306</v>
      </c>
      <c r="AP16" s="11">
        <f t="shared" si="18"/>
        <v>-3162</v>
      </c>
      <c r="AQ16" s="11">
        <f t="shared" si="19"/>
        <v>-5129</v>
      </c>
      <c r="AR16" s="11">
        <f t="shared" si="20"/>
        <v>-3632</v>
      </c>
      <c r="AS16" s="11">
        <f t="shared" si="20"/>
        <v>-4327</v>
      </c>
      <c r="AT16" s="11">
        <f t="shared" si="20"/>
        <v>-3503</v>
      </c>
      <c r="AU16" s="11">
        <f t="shared" si="21"/>
        <v>-5934</v>
      </c>
      <c r="AV16" s="15"/>
      <c r="AW16" s="15"/>
      <c r="AZ16" s="15"/>
      <c r="BA16" s="15"/>
      <c r="BB16" s="15"/>
      <c r="BC16" s="15"/>
      <c r="BD16" s="15"/>
      <c r="BE16" s="15"/>
      <c r="BF16" s="15"/>
      <c r="BG16" s="15"/>
      <c r="BH16" s="15"/>
    </row>
    <row r="17" spans="1:65" ht="12.5" thickBot="1">
      <c r="A17" s="55" t="s">
        <v>32</v>
      </c>
      <c r="B17" s="55" t="s">
        <v>95</v>
      </c>
      <c r="C17" s="10">
        <v>-13739.663189999999</v>
      </c>
      <c r="D17" s="10">
        <v>-17074.234909999999</v>
      </c>
      <c r="E17" s="10">
        <v>-12054.101900000001</v>
      </c>
      <c r="F17" s="10">
        <v>-16933</v>
      </c>
      <c r="G17" s="10">
        <v>-11665</v>
      </c>
      <c r="H17" s="10">
        <v>-14179</v>
      </c>
      <c r="I17" s="10">
        <v>-11382</v>
      </c>
      <c r="J17" s="10">
        <v>-13553</v>
      </c>
      <c r="K17" s="10">
        <v>-11156</v>
      </c>
      <c r="L17" s="10">
        <v>-11132</v>
      </c>
      <c r="M17" s="10">
        <v>-10860</v>
      </c>
      <c r="N17" s="10">
        <v>-15050</v>
      </c>
      <c r="O17" s="10">
        <f t="shared" si="5"/>
        <v>-9572</v>
      </c>
      <c r="P17" s="11">
        <f t="shared" si="6"/>
        <v>-15279</v>
      </c>
      <c r="Q17" s="11">
        <f t="shared" si="6"/>
        <v>-14548</v>
      </c>
      <c r="R17" s="11">
        <f t="shared" si="6"/>
        <v>-17430</v>
      </c>
      <c r="S17" s="11">
        <f t="shared" si="7"/>
        <v>-15028</v>
      </c>
      <c r="T17" s="11">
        <f t="shared" si="8"/>
        <v>-8716</v>
      </c>
      <c r="U17" s="11">
        <f t="shared" si="8"/>
        <v>-17405</v>
      </c>
      <c r="V17" s="11">
        <f t="shared" si="8"/>
        <v>-18440</v>
      </c>
      <c r="W17" s="11">
        <f t="shared" si="9"/>
        <v>-15227</v>
      </c>
      <c r="X17" s="11">
        <f t="shared" si="10"/>
        <v>-3960</v>
      </c>
      <c r="Y17" s="11">
        <f t="shared" si="10"/>
        <v>-26270</v>
      </c>
      <c r="Z17" s="11">
        <f t="shared" si="10"/>
        <v>-32044</v>
      </c>
      <c r="AA17" s="11">
        <f t="shared" si="11"/>
        <v>-23489</v>
      </c>
      <c r="AB17" s="11">
        <f t="shared" si="12"/>
        <v>-2991</v>
      </c>
      <c r="AC17" s="11">
        <f t="shared" si="12"/>
        <v>-21913</v>
      </c>
      <c r="AD17" s="11">
        <f t="shared" si="12"/>
        <v>-23850</v>
      </c>
      <c r="AE17" s="11">
        <f t="shared" si="13"/>
        <v>-15405</v>
      </c>
      <c r="AF17" s="11">
        <f t="shared" si="14"/>
        <v>10729</v>
      </c>
      <c r="AG17" s="11">
        <f t="shared" si="14"/>
        <v>-22335</v>
      </c>
      <c r="AH17" s="11">
        <f t="shared" si="14"/>
        <v>-25915</v>
      </c>
      <c r="AI17" s="11">
        <f t="shared" si="15"/>
        <v>-22015</v>
      </c>
      <c r="AJ17" s="11">
        <f t="shared" si="16"/>
        <v>10743</v>
      </c>
      <c r="AK17" s="11">
        <f t="shared" si="16"/>
        <v>-25890</v>
      </c>
      <c r="AL17" s="11">
        <f t="shared" si="16"/>
        <v>-34807</v>
      </c>
      <c r="AM17" s="11">
        <f t="shared" si="17"/>
        <v>4531</v>
      </c>
      <c r="AN17" s="11">
        <f t="shared" si="18"/>
        <v>-21385</v>
      </c>
      <c r="AO17" s="11">
        <f t="shared" si="18"/>
        <v>-28536</v>
      </c>
      <c r="AP17" s="11">
        <f t="shared" si="18"/>
        <v>-35291</v>
      </c>
      <c r="AQ17" s="11">
        <f t="shared" si="19"/>
        <v>-34896</v>
      </c>
      <c r="AR17" s="11">
        <f t="shared" si="20"/>
        <v>1764</v>
      </c>
      <c r="AS17" s="11">
        <f t="shared" si="20"/>
        <v>-30636</v>
      </c>
      <c r="AT17" s="11">
        <f t="shared" si="20"/>
        <v>-40404</v>
      </c>
      <c r="AU17" s="11">
        <f t="shared" si="21"/>
        <v>-34170</v>
      </c>
      <c r="AV17" s="15"/>
      <c r="AW17" s="15"/>
      <c r="AZ17" s="15"/>
      <c r="BA17" s="15"/>
      <c r="BB17" s="15"/>
      <c r="BC17" s="15"/>
      <c r="BD17" s="15"/>
      <c r="BE17" s="15"/>
      <c r="BF17" s="15"/>
      <c r="BG17" s="15"/>
      <c r="BH17" s="15"/>
    </row>
    <row r="18" spans="1:65" ht="12.5" thickBot="1">
      <c r="A18" s="48" t="s">
        <v>33</v>
      </c>
      <c r="B18" s="48" t="s">
        <v>83</v>
      </c>
      <c r="C18" s="3">
        <v>-261161</v>
      </c>
      <c r="D18" s="3">
        <v>-266393</v>
      </c>
      <c r="E18" s="3">
        <v>-264933</v>
      </c>
      <c r="F18" s="3">
        <v>-263566</v>
      </c>
      <c r="G18" s="3">
        <v>-262514</v>
      </c>
      <c r="H18" s="3">
        <v>-258716</v>
      </c>
      <c r="I18" s="3">
        <v>-253399</v>
      </c>
      <c r="J18" s="3">
        <v>-261985</v>
      </c>
      <c r="K18" s="3">
        <v>-258360</v>
      </c>
      <c r="L18" s="3">
        <v>-266081</v>
      </c>
      <c r="M18" s="3">
        <v>-264776</v>
      </c>
      <c r="N18" s="3">
        <v>-268249</v>
      </c>
      <c r="O18" s="3">
        <f t="shared" ref="O18:T18" si="22">SUM(O4:O5)</f>
        <v>-301331</v>
      </c>
      <c r="P18" s="3">
        <f t="shared" si="22"/>
        <v>-279478</v>
      </c>
      <c r="Q18" s="3">
        <f t="shared" si="22"/>
        <v>-277519.80699000001</v>
      </c>
      <c r="R18" s="3">
        <f t="shared" si="22"/>
        <v>-291394</v>
      </c>
      <c r="S18" s="3">
        <f t="shared" si="22"/>
        <v>-316822</v>
      </c>
      <c r="T18" s="3">
        <f t="shared" si="22"/>
        <v>-288781</v>
      </c>
      <c r="U18" s="3">
        <f>SUM(U4:U5)</f>
        <v>-302770</v>
      </c>
      <c r="V18" s="3">
        <f t="shared" ref="V18:AM18" si="23">+V5+V4</f>
        <v>-305392</v>
      </c>
      <c r="W18" s="3">
        <f t="shared" si="23"/>
        <v>-351056</v>
      </c>
      <c r="X18" s="3">
        <f t="shared" ref="X18" si="24">+X5+X4</f>
        <v>-331932</v>
      </c>
      <c r="Y18" s="3">
        <f t="shared" si="23"/>
        <v>-426448</v>
      </c>
      <c r="Z18" s="3">
        <f t="shared" si="23"/>
        <v>-435747</v>
      </c>
      <c r="AA18" s="3">
        <f t="shared" si="23"/>
        <v>-464566</v>
      </c>
      <c r="AB18" s="3">
        <f t="shared" si="23"/>
        <v>-351246</v>
      </c>
      <c r="AC18" s="3">
        <f t="shared" si="23"/>
        <v>-360348</v>
      </c>
      <c r="AD18" s="3">
        <f t="shared" si="23"/>
        <v>-366219</v>
      </c>
      <c r="AE18" s="3">
        <f t="shared" si="23"/>
        <v>-375885</v>
      </c>
      <c r="AF18" s="3">
        <f t="shared" si="23"/>
        <v>-329304</v>
      </c>
      <c r="AG18" s="3">
        <f t="shared" si="23"/>
        <v>-352116</v>
      </c>
      <c r="AH18" s="3">
        <f t="shared" si="23"/>
        <v>-383401</v>
      </c>
      <c r="AI18" s="3">
        <f t="shared" si="23"/>
        <v>-434626</v>
      </c>
      <c r="AJ18" s="3">
        <f t="shared" si="23"/>
        <v>-624203</v>
      </c>
      <c r="AK18" s="3">
        <f t="shared" si="23"/>
        <v>-409328</v>
      </c>
      <c r="AL18" s="3">
        <f t="shared" si="23"/>
        <v>-416102</v>
      </c>
      <c r="AM18" s="3">
        <f t="shared" si="23"/>
        <v>-469294</v>
      </c>
      <c r="AN18" s="3">
        <f t="shared" ref="AN18:AS18" si="25">+AN5+AN4</f>
        <v>-395235</v>
      </c>
      <c r="AO18" s="3">
        <f t="shared" si="25"/>
        <v>-440574</v>
      </c>
      <c r="AP18" s="3">
        <f t="shared" si="25"/>
        <v>-476336</v>
      </c>
      <c r="AQ18" s="3">
        <f t="shared" si="25"/>
        <v>-544039</v>
      </c>
      <c r="AR18" s="3">
        <f t="shared" si="25"/>
        <v>-449713</v>
      </c>
      <c r="AS18" s="3">
        <f t="shared" si="25"/>
        <v>-495641</v>
      </c>
      <c r="AT18" s="3">
        <f t="shared" ref="AT18:AU18" si="26">+AT5+AT4</f>
        <v>-537051</v>
      </c>
      <c r="AU18" s="3">
        <f t="shared" si="26"/>
        <v>-611257</v>
      </c>
      <c r="AV18" s="15"/>
      <c r="AW18" s="15"/>
      <c r="AZ18" s="15"/>
      <c r="BA18" s="15"/>
      <c r="BB18" s="15"/>
      <c r="BC18" s="15"/>
      <c r="BD18" s="15"/>
      <c r="BE18" s="15"/>
      <c r="BF18" s="15"/>
      <c r="BG18" s="15"/>
      <c r="BH18" s="15"/>
    </row>
    <row r="19" spans="1:65">
      <c r="A19" s="1" t="s">
        <v>139</v>
      </c>
      <c r="B19" s="1" t="s">
        <v>373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Y19" s="15"/>
      <c r="AZ19" s="15"/>
      <c r="BA19" s="15"/>
      <c r="BB19" s="15"/>
      <c r="BC19" s="15"/>
      <c r="BD19" s="15"/>
      <c r="BE19" s="15"/>
      <c r="BF19" s="15"/>
      <c r="BG19" s="15"/>
    </row>
    <row r="20" spans="1:65">
      <c r="A20" s="1" t="s">
        <v>247</v>
      </c>
      <c r="B20" s="1" t="s">
        <v>377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Y20" s="15"/>
      <c r="AZ20" s="15"/>
      <c r="BA20" s="15"/>
      <c r="BB20" s="15"/>
      <c r="BC20" s="15"/>
      <c r="BD20" s="15"/>
      <c r="BE20" s="15"/>
      <c r="BF20" s="15"/>
      <c r="BG20" s="15"/>
    </row>
    <row r="21" spans="1:65"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Y21" s="15"/>
      <c r="AZ21" s="15"/>
      <c r="BA21" s="15"/>
      <c r="BB21" s="15"/>
      <c r="BC21" s="15"/>
      <c r="BD21" s="15"/>
      <c r="BE21" s="15"/>
      <c r="BF21" s="15"/>
      <c r="BG21" s="15"/>
    </row>
    <row r="22" spans="1:65" ht="15.5">
      <c r="A22" s="39" t="s">
        <v>138</v>
      </c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Y22" s="15"/>
      <c r="AZ22" s="15"/>
      <c r="BA22" s="15"/>
      <c r="BB22" s="15"/>
      <c r="BC22" s="15"/>
      <c r="BD22" s="15"/>
      <c r="BE22" s="15"/>
      <c r="BF22" s="15"/>
      <c r="BG22" s="15"/>
    </row>
    <row r="23" spans="1:65" ht="15.5">
      <c r="A23" s="39" t="s">
        <v>374</v>
      </c>
    </row>
    <row r="24" spans="1:65" ht="24.5" thickBot="1">
      <c r="A24" s="98" t="s">
        <v>396</v>
      </c>
      <c r="B24" s="98" t="s">
        <v>99</v>
      </c>
      <c r="C24" s="115" t="s">
        <v>115</v>
      </c>
      <c r="D24" s="115" t="s">
        <v>118</v>
      </c>
      <c r="E24" s="115" t="s">
        <v>122</v>
      </c>
      <c r="F24" s="115" t="s">
        <v>137</v>
      </c>
      <c r="G24" s="115" t="s">
        <v>140</v>
      </c>
      <c r="H24" s="115" t="s">
        <v>159</v>
      </c>
      <c r="I24" s="115" t="s">
        <v>160</v>
      </c>
      <c r="J24" s="115" t="s">
        <v>163</v>
      </c>
      <c r="K24" s="115" t="s">
        <v>166</v>
      </c>
      <c r="L24" s="115" t="s">
        <v>170</v>
      </c>
      <c r="M24" s="115" t="s">
        <v>175</v>
      </c>
      <c r="N24" s="115" t="s">
        <v>176</v>
      </c>
      <c r="O24" s="115" t="s">
        <v>179</v>
      </c>
      <c r="P24" s="115" t="s">
        <v>181</v>
      </c>
      <c r="Q24" s="115" t="s">
        <v>184</v>
      </c>
      <c r="R24" s="115" t="s">
        <v>189</v>
      </c>
      <c r="S24" s="115" t="s">
        <v>192</v>
      </c>
      <c r="T24" s="115" t="s">
        <v>262</v>
      </c>
      <c r="U24" s="115" t="s">
        <v>300</v>
      </c>
      <c r="V24" s="115" t="s">
        <v>302</v>
      </c>
      <c r="W24" s="115" t="s">
        <v>306</v>
      </c>
      <c r="X24" s="115" t="s">
        <v>315</v>
      </c>
      <c r="Y24" s="115" t="s">
        <v>321</v>
      </c>
      <c r="Z24" s="115" t="s">
        <v>325</v>
      </c>
      <c r="AA24" s="115" t="s">
        <v>400</v>
      </c>
      <c r="AB24" s="115" t="s">
        <v>471</v>
      </c>
      <c r="AC24" s="115" t="s">
        <v>476</v>
      </c>
      <c r="AD24" s="115" t="s">
        <v>485</v>
      </c>
      <c r="AE24" s="115" t="s">
        <v>489</v>
      </c>
      <c r="AF24" s="115" t="s">
        <v>494</v>
      </c>
      <c r="AG24" s="115" t="s">
        <v>506</v>
      </c>
      <c r="AH24" s="115" t="s">
        <v>511</v>
      </c>
      <c r="AI24" s="115" t="s">
        <v>515</v>
      </c>
      <c r="AJ24" s="115" t="s">
        <v>522</v>
      </c>
      <c r="AK24" s="115" t="s">
        <v>528</v>
      </c>
      <c r="AL24" s="115" t="s">
        <v>532</v>
      </c>
      <c r="AM24" s="115" t="s">
        <v>547</v>
      </c>
      <c r="AN24" s="115" t="s">
        <v>647</v>
      </c>
      <c r="AO24" s="115" t="s">
        <v>651</v>
      </c>
      <c r="AP24" s="115" t="s">
        <v>662</v>
      </c>
      <c r="AQ24" s="115" t="s">
        <v>666</v>
      </c>
      <c r="AR24" s="115" t="s">
        <v>673</v>
      </c>
      <c r="AS24" s="115" t="s">
        <v>681</v>
      </c>
      <c r="AT24" s="115" t="s">
        <v>686</v>
      </c>
      <c r="AU24" s="115" t="s">
        <v>690</v>
      </c>
    </row>
    <row r="25" spans="1:65">
      <c r="A25" s="44" t="s">
        <v>53</v>
      </c>
      <c r="B25" s="44" t="s">
        <v>85</v>
      </c>
      <c r="C25" s="10">
        <v>-135106</v>
      </c>
      <c r="D25" s="10">
        <v>-270021</v>
      </c>
      <c r="E25" s="10">
        <v>-409649</v>
      </c>
      <c r="F25" s="10">
        <v>-547014</v>
      </c>
      <c r="G25" s="10">
        <v>-138255</v>
      </c>
      <c r="H25" s="10">
        <v>-275163</v>
      </c>
      <c r="I25" s="10">
        <v>-411062</v>
      </c>
      <c r="J25" s="10">
        <v>-546905</v>
      </c>
      <c r="K25" s="10">
        <v>-138836</v>
      </c>
      <c r="L25" s="10">
        <v>-277914</v>
      </c>
      <c r="M25" s="10">
        <v>-417237</v>
      </c>
      <c r="N25" s="10">
        <v>-558758</v>
      </c>
      <c r="O25" s="10">
        <v>-145054</v>
      </c>
      <c r="P25" s="10">
        <v>-294954</v>
      </c>
      <c r="Q25" s="10">
        <v>-443966</v>
      </c>
      <c r="R25" s="10">
        <v>-596538</v>
      </c>
      <c r="S25" s="10">
        <v>-157699</v>
      </c>
      <c r="T25" s="10">
        <v>-316220</v>
      </c>
      <c r="U25" s="10">
        <v>-477187</v>
      </c>
      <c r="V25" s="10">
        <v>-638095</v>
      </c>
      <c r="W25" s="10">
        <v>-172555</v>
      </c>
      <c r="X25" s="10">
        <v>-372216</v>
      </c>
      <c r="Y25" s="10">
        <v>-603806</v>
      </c>
      <c r="Z25" s="10">
        <v>-836389</v>
      </c>
      <c r="AA25" s="10">
        <v>-243752</v>
      </c>
      <c r="AB25" s="10">
        <v>-451200</v>
      </c>
      <c r="AC25" s="10">
        <v>-662752</v>
      </c>
      <c r="AD25" s="10">
        <v>-856330</v>
      </c>
      <c r="AE25" s="10">
        <v>-205599</v>
      </c>
      <c r="AF25" s="10">
        <v>-411015</v>
      </c>
      <c r="AG25" s="10">
        <v>-613290</v>
      </c>
      <c r="AH25" s="10">
        <v>-815324</v>
      </c>
      <c r="AI25" s="10">
        <v>-217934</v>
      </c>
      <c r="AJ25" s="10">
        <v>-445427</v>
      </c>
      <c r="AK25" s="10">
        <v>-678076</v>
      </c>
      <c r="AL25" s="10">
        <v>-916142</v>
      </c>
      <c r="AM25" s="10">
        <v>-246046</v>
      </c>
      <c r="AN25" s="10">
        <v>-501838</v>
      </c>
      <c r="AO25" s="10">
        <v>-766493</v>
      </c>
      <c r="AP25" s="10">
        <v>-1034638</v>
      </c>
      <c r="AQ25" s="10">
        <v>-289343</v>
      </c>
      <c r="AR25" s="10">
        <v>-583963</v>
      </c>
      <c r="AS25" s="10">
        <v>-887213</v>
      </c>
      <c r="AT25" s="10">
        <v>-1196892</v>
      </c>
      <c r="AU25" s="10">
        <v>-321922</v>
      </c>
      <c r="AW25" s="15"/>
      <c r="BH25" s="15"/>
      <c r="BI25" s="15"/>
      <c r="BK25" s="15"/>
      <c r="BL25" s="15"/>
      <c r="BM25" s="15"/>
    </row>
    <row r="26" spans="1:65">
      <c r="A26" s="44" t="s">
        <v>44</v>
      </c>
      <c r="B26" s="44" t="s">
        <v>100</v>
      </c>
      <c r="C26" s="11">
        <v>-126055</v>
      </c>
      <c r="D26" s="11">
        <v>-257533</v>
      </c>
      <c r="E26" s="11">
        <v>-382838</v>
      </c>
      <c r="F26" s="11">
        <v>-509039</v>
      </c>
      <c r="G26" s="11">
        <v>-124259</v>
      </c>
      <c r="H26" s="11">
        <f t="shared" ref="H26:N26" si="27">SUM(H27:H38)</f>
        <v>-246067</v>
      </c>
      <c r="I26" s="11">
        <f t="shared" si="27"/>
        <v>-363567</v>
      </c>
      <c r="J26" s="11">
        <f t="shared" si="27"/>
        <v>-489709</v>
      </c>
      <c r="K26" s="11">
        <f t="shared" si="27"/>
        <v>-119524</v>
      </c>
      <c r="L26" s="11">
        <f t="shared" si="27"/>
        <v>-246527</v>
      </c>
      <c r="M26" s="11">
        <f t="shared" si="27"/>
        <v>-371980</v>
      </c>
      <c r="N26" s="11">
        <f t="shared" si="27"/>
        <v>-498708</v>
      </c>
      <c r="O26" s="11">
        <f t="shared" ref="O26:T26" si="28">SUM(O27:O38)</f>
        <v>-156277</v>
      </c>
      <c r="P26" s="11">
        <f t="shared" si="28"/>
        <v>-285855</v>
      </c>
      <c r="Q26" s="11">
        <f t="shared" si="28"/>
        <v>-414362.80699000001</v>
      </c>
      <c r="R26" s="11">
        <f t="shared" si="28"/>
        <v>-553184.80698999995</v>
      </c>
      <c r="S26" s="11">
        <f t="shared" si="28"/>
        <v>-159123</v>
      </c>
      <c r="T26" s="11">
        <f t="shared" si="28"/>
        <v>-289383</v>
      </c>
      <c r="U26" s="11">
        <f t="shared" ref="U26:AM26" si="29">SUM(U27:U38)</f>
        <v>-431186</v>
      </c>
      <c r="V26" s="11">
        <f t="shared" si="29"/>
        <v>-575670</v>
      </c>
      <c r="W26" s="11">
        <f t="shared" si="29"/>
        <v>-178501</v>
      </c>
      <c r="X26" s="11">
        <f t="shared" si="29"/>
        <v>-310772</v>
      </c>
      <c r="Y26" s="11">
        <f t="shared" si="29"/>
        <v>-505630</v>
      </c>
      <c r="Z26" s="11">
        <f t="shared" si="29"/>
        <v>-708794</v>
      </c>
      <c r="AA26" s="11">
        <f t="shared" si="29"/>
        <v>-220814</v>
      </c>
      <c r="AB26" s="11">
        <f t="shared" si="29"/>
        <v>-364612</v>
      </c>
      <c r="AC26" s="11">
        <f t="shared" si="29"/>
        <v>-513408</v>
      </c>
      <c r="AD26" s="11">
        <f t="shared" si="29"/>
        <v>-686049</v>
      </c>
      <c r="AE26" s="11">
        <f t="shared" si="29"/>
        <v>-170286</v>
      </c>
      <c r="AF26" s="11">
        <f t="shared" si="29"/>
        <v>-294174</v>
      </c>
      <c r="AG26" s="11">
        <f t="shared" si="29"/>
        <v>-444015</v>
      </c>
      <c r="AH26" s="11">
        <f t="shared" si="29"/>
        <v>-625382</v>
      </c>
      <c r="AI26" s="11">
        <f t="shared" si="29"/>
        <v>-216692</v>
      </c>
      <c r="AJ26" s="11">
        <f t="shared" si="29"/>
        <v>-613402</v>
      </c>
      <c r="AK26" s="11">
        <f t="shared" si="29"/>
        <v>-790081</v>
      </c>
      <c r="AL26" s="11">
        <f t="shared" si="29"/>
        <v>-968117</v>
      </c>
      <c r="AM26" s="11">
        <f t="shared" si="29"/>
        <v>-223248</v>
      </c>
      <c r="AN26" s="11">
        <f t="shared" ref="AN26:AS26" si="30">SUM(AN27:AN38)</f>
        <v>-362691</v>
      </c>
      <c r="AO26" s="11">
        <f t="shared" si="30"/>
        <v>-538610</v>
      </c>
      <c r="AP26" s="11">
        <f t="shared" si="30"/>
        <v>-746801</v>
      </c>
      <c r="AQ26" s="11">
        <f t="shared" si="30"/>
        <v>-254696</v>
      </c>
      <c r="AR26" s="11">
        <f t="shared" si="30"/>
        <v>-409789</v>
      </c>
      <c r="AS26" s="11">
        <f t="shared" si="30"/>
        <v>-602180</v>
      </c>
      <c r="AT26" s="11">
        <f t="shared" ref="AT26:AU26" si="31">SUM(AT27:AT38)</f>
        <v>-829552</v>
      </c>
      <c r="AU26" s="11">
        <f t="shared" si="31"/>
        <v>-289335</v>
      </c>
      <c r="AW26" s="15"/>
      <c r="BH26" s="15"/>
      <c r="BI26" s="15"/>
      <c r="BK26" s="15"/>
      <c r="BL26" s="15"/>
      <c r="BM26" s="15"/>
    </row>
    <row r="27" spans="1:65" ht="12.5" thickBot="1">
      <c r="A27" s="55" t="s">
        <v>35</v>
      </c>
      <c r="B27" s="55" t="s">
        <v>86</v>
      </c>
      <c r="C27" s="11">
        <v>-15451</v>
      </c>
      <c r="D27" s="11">
        <v>-34418</v>
      </c>
      <c r="E27" s="11">
        <v>-48499</v>
      </c>
      <c r="F27" s="11">
        <v>-63693</v>
      </c>
      <c r="G27" s="11">
        <v>-15614</v>
      </c>
      <c r="H27" s="11">
        <v>-25147</v>
      </c>
      <c r="I27" s="11">
        <v>-33020</v>
      </c>
      <c r="J27" s="11">
        <v>-44416</v>
      </c>
      <c r="K27" s="11">
        <v>-8328</v>
      </c>
      <c r="L27" s="11">
        <v>-21031</v>
      </c>
      <c r="M27" s="11">
        <v>-34301</v>
      </c>
      <c r="N27" s="11">
        <v>-44262</v>
      </c>
      <c r="O27" s="11">
        <v>-6089</v>
      </c>
      <c r="P27" s="11">
        <v>-21199</v>
      </c>
      <c r="Q27" s="11">
        <v>-36069</v>
      </c>
      <c r="R27" s="11">
        <v>-53963</v>
      </c>
      <c r="S27" s="11">
        <v>-7583</v>
      </c>
      <c r="T27" s="11">
        <v>-23957</v>
      </c>
      <c r="U27" s="11">
        <v>-38389</v>
      </c>
      <c r="V27" s="11">
        <v>-58056</v>
      </c>
      <c r="W27" s="11">
        <v>-6795</v>
      </c>
      <c r="X27" s="11">
        <v>-26888</v>
      </c>
      <c r="Y27" s="11">
        <v>-51723</v>
      </c>
      <c r="Z27" s="11">
        <v>-80824</v>
      </c>
      <c r="AA27" s="11">
        <v>-14101</v>
      </c>
      <c r="AB27" s="11">
        <v>-30094</v>
      </c>
      <c r="AC27" s="11">
        <v>-40836</v>
      </c>
      <c r="AD27" s="11">
        <v>-61818</v>
      </c>
      <c r="AE27" s="11">
        <v>-12767</v>
      </c>
      <c r="AF27" s="11">
        <v>-27338</v>
      </c>
      <c r="AG27" s="11">
        <v>-40189</v>
      </c>
      <c r="AH27" s="11">
        <v>-64559</v>
      </c>
      <c r="AI27" s="11">
        <v>-15320</v>
      </c>
      <c r="AJ27" s="11">
        <v>-34846</v>
      </c>
      <c r="AK27" s="11">
        <v>-47525</v>
      </c>
      <c r="AL27" s="11">
        <v>-65542</v>
      </c>
      <c r="AM27" s="11">
        <v>-17806</v>
      </c>
      <c r="AN27" s="11">
        <v>-32476</v>
      </c>
      <c r="AO27" s="11">
        <v>-47977</v>
      </c>
      <c r="AP27" s="11">
        <v>-72282</v>
      </c>
      <c r="AQ27" s="11">
        <v>-20092</v>
      </c>
      <c r="AR27" s="11">
        <v>-41094</v>
      </c>
      <c r="AS27" s="11">
        <v>-59970</v>
      </c>
      <c r="AT27" s="11">
        <v>-78304</v>
      </c>
      <c r="AU27" s="11">
        <v>-19448</v>
      </c>
      <c r="AW27" s="15"/>
      <c r="BH27" s="15"/>
      <c r="BI27" s="15"/>
      <c r="BK27" s="15"/>
      <c r="BL27" s="15"/>
      <c r="BM27" s="15"/>
    </row>
    <row r="28" spans="1:65" ht="12.5" thickBot="1">
      <c r="A28" s="55" t="s">
        <v>121</v>
      </c>
      <c r="B28" s="55" t="s">
        <v>120</v>
      </c>
      <c r="C28" s="11">
        <v>-18264.336810000001</v>
      </c>
      <c r="D28" s="11">
        <v>-36067.101900000001</v>
      </c>
      <c r="E28" s="11">
        <v>-53943</v>
      </c>
      <c r="F28" s="11">
        <v>-70487</v>
      </c>
      <c r="G28" s="11">
        <v>-17403</v>
      </c>
      <c r="H28" s="11">
        <v>-34723</v>
      </c>
      <c r="I28" s="11">
        <v>-52393</v>
      </c>
      <c r="J28" s="11">
        <v>-69760</v>
      </c>
      <c r="K28" s="11">
        <v>-18217</v>
      </c>
      <c r="L28" s="11">
        <v>-36331</v>
      </c>
      <c r="M28" s="11">
        <v>-55333</v>
      </c>
      <c r="N28" s="11">
        <v>-75113</v>
      </c>
      <c r="O28" s="11">
        <v>-18972</v>
      </c>
      <c r="P28" s="11">
        <v>-38215</v>
      </c>
      <c r="Q28" s="11">
        <v>-57798</v>
      </c>
      <c r="R28" s="11">
        <v>-78050</v>
      </c>
      <c r="S28" s="11">
        <v>-20701</v>
      </c>
      <c r="T28" s="11">
        <v>-43563</v>
      </c>
      <c r="U28" s="11">
        <v>-65998</v>
      </c>
      <c r="V28" s="11">
        <v>-89577</v>
      </c>
      <c r="W28" s="11">
        <v>-24258</v>
      </c>
      <c r="X28" s="11">
        <v>-59875</v>
      </c>
      <c r="Y28" s="11">
        <v>-108193</v>
      </c>
      <c r="Z28" s="11">
        <v>-162205</v>
      </c>
      <c r="AA28" s="11">
        <v>-34854</v>
      </c>
      <c r="AB28" s="11">
        <v>-66040</v>
      </c>
      <c r="AC28" s="11">
        <v>-97290</v>
      </c>
      <c r="AD28" s="11">
        <v>-130989</v>
      </c>
      <c r="AE28" s="11">
        <v>-29658</v>
      </c>
      <c r="AF28" s="11">
        <v>-59537</v>
      </c>
      <c r="AG28" s="11">
        <v>-93566</v>
      </c>
      <c r="AH28" s="11">
        <v>-126931</v>
      </c>
      <c r="AI28" s="11">
        <v>-31173</v>
      </c>
      <c r="AJ28" s="11">
        <v>-64234</v>
      </c>
      <c r="AK28" s="11">
        <v>-98863</v>
      </c>
      <c r="AL28" s="11">
        <v>-138409</v>
      </c>
      <c r="AM28" s="11">
        <v>-36604</v>
      </c>
      <c r="AN28" s="11">
        <v>-73917</v>
      </c>
      <c r="AO28" s="11">
        <v>-112576</v>
      </c>
      <c r="AP28" s="11">
        <v>-158561</v>
      </c>
      <c r="AQ28" s="11">
        <v>-38061</v>
      </c>
      <c r="AR28" s="11">
        <v>-78360</v>
      </c>
      <c r="AS28" s="11">
        <v>-122511</v>
      </c>
      <c r="AT28" s="11">
        <v>-171333</v>
      </c>
      <c r="AU28" s="11">
        <v>-45428</v>
      </c>
      <c r="AW28" s="15"/>
      <c r="BH28" s="15"/>
      <c r="BI28" s="15"/>
      <c r="BK28" s="15"/>
      <c r="BL28" s="15"/>
      <c r="BM28" s="15"/>
    </row>
    <row r="29" spans="1:65" ht="12.5" thickBot="1">
      <c r="A29" s="55" t="s">
        <v>36</v>
      </c>
      <c r="B29" s="55" t="s">
        <v>87</v>
      </c>
      <c r="C29" s="11">
        <v>-45428</v>
      </c>
      <c r="D29" s="11">
        <v>-90007</v>
      </c>
      <c r="E29" s="11">
        <v>-134058</v>
      </c>
      <c r="F29" s="11">
        <v>-181763</v>
      </c>
      <c r="G29" s="11">
        <v>-43655</v>
      </c>
      <c r="H29" s="11">
        <v>-86591</v>
      </c>
      <c r="I29" s="11">
        <v>-129715</v>
      </c>
      <c r="J29" s="11">
        <v>-174425</v>
      </c>
      <c r="K29" s="11">
        <v>-44493</v>
      </c>
      <c r="L29" s="11">
        <v>-90924</v>
      </c>
      <c r="M29" s="11">
        <v>-132259</v>
      </c>
      <c r="N29" s="11">
        <v>-174889</v>
      </c>
      <c r="O29" s="11">
        <v>-40960</v>
      </c>
      <c r="P29" s="11">
        <v>-78723</v>
      </c>
      <c r="Q29" s="11">
        <v>-118437</v>
      </c>
      <c r="R29" s="11">
        <v>-157369</v>
      </c>
      <c r="S29" s="11">
        <v>-36375</v>
      </c>
      <c r="T29" s="11">
        <v>-73516</v>
      </c>
      <c r="U29" s="11">
        <v>-109602</v>
      </c>
      <c r="V29" s="11">
        <v>-145691</v>
      </c>
      <c r="W29" s="11">
        <v>-18386</v>
      </c>
      <c r="X29" s="11">
        <v>-36879</v>
      </c>
      <c r="Y29" s="11">
        <v>-55488</v>
      </c>
      <c r="Z29" s="11">
        <v>-70536</v>
      </c>
      <c r="AA29" s="11">
        <v>-21081</v>
      </c>
      <c r="AB29" s="11">
        <v>-40319</v>
      </c>
      <c r="AC29" s="11">
        <v>-60862</v>
      </c>
      <c r="AD29" s="11">
        <v>-78055</v>
      </c>
      <c r="AE29" s="11">
        <v>-15907</v>
      </c>
      <c r="AF29" s="11">
        <v>-28090</v>
      </c>
      <c r="AG29" s="11">
        <v>-40951</v>
      </c>
      <c r="AH29" s="11">
        <v>-54214</v>
      </c>
      <c r="AI29" s="11">
        <v>-12511</v>
      </c>
      <c r="AJ29" s="11">
        <v>-24700</v>
      </c>
      <c r="AK29" s="11">
        <v>-36455</v>
      </c>
      <c r="AL29" s="11">
        <v>-50300</v>
      </c>
      <c r="AM29" s="11">
        <v>-18784</v>
      </c>
      <c r="AN29" s="11">
        <v>-38079</v>
      </c>
      <c r="AO29" s="11">
        <v>-61634</v>
      </c>
      <c r="AP29" s="11">
        <v>-63759</v>
      </c>
      <c r="AQ29" s="11">
        <v>-15441</v>
      </c>
      <c r="AR29" s="11">
        <v>-29386</v>
      </c>
      <c r="AS29" s="11">
        <v>-43636</v>
      </c>
      <c r="AT29" s="11">
        <v>-57330</v>
      </c>
      <c r="AU29" s="11">
        <v>-14477</v>
      </c>
      <c r="AW29" s="15"/>
      <c r="BH29" s="15"/>
      <c r="BI29" s="15"/>
      <c r="BK29" s="15"/>
      <c r="BL29" s="15"/>
      <c r="BM29" s="15"/>
    </row>
    <row r="30" spans="1:65" ht="24.5" thickBot="1">
      <c r="A30" s="55" t="s">
        <v>37</v>
      </c>
      <c r="B30" s="55" t="s">
        <v>88</v>
      </c>
      <c r="C30" s="11">
        <v>-6054</v>
      </c>
      <c r="D30" s="11">
        <v>-12708</v>
      </c>
      <c r="E30" s="11">
        <v>-19102</v>
      </c>
      <c r="F30" s="11">
        <v>-25349</v>
      </c>
      <c r="G30" s="11">
        <v>-6703</v>
      </c>
      <c r="H30" s="11">
        <v>-13647</v>
      </c>
      <c r="I30" s="11">
        <v>-20223</v>
      </c>
      <c r="J30" s="11">
        <v>-26914</v>
      </c>
      <c r="K30" s="11">
        <v>-6477</v>
      </c>
      <c r="L30" s="11">
        <v>-12995</v>
      </c>
      <c r="M30" s="11">
        <v>-19724</v>
      </c>
      <c r="N30" s="11">
        <v>-25673</v>
      </c>
      <c r="O30" s="11">
        <v>-6213</v>
      </c>
      <c r="P30" s="11">
        <v>-12738</v>
      </c>
      <c r="Q30" s="11">
        <v>-19118</v>
      </c>
      <c r="R30" s="11">
        <v>-25800</v>
      </c>
      <c r="S30" s="11">
        <v>-6590</v>
      </c>
      <c r="T30" s="11">
        <v>-13267</v>
      </c>
      <c r="U30" s="11">
        <v>-20191</v>
      </c>
      <c r="V30" s="11">
        <v>-28008</v>
      </c>
      <c r="W30" s="11">
        <v>-8627</v>
      </c>
      <c r="X30" s="11">
        <v>-18749</v>
      </c>
      <c r="Y30" s="11">
        <v>-30259</v>
      </c>
      <c r="Z30" s="11">
        <v>-45173</v>
      </c>
      <c r="AA30" s="11">
        <v>-13846</v>
      </c>
      <c r="AB30" s="11">
        <v>-28410</v>
      </c>
      <c r="AC30" s="11">
        <v>-39093</v>
      </c>
      <c r="AD30" s="11">
        <v>-49635</v>
      </c>
      <c r="AE30" s="11">
        <v>-10248</v>
      </c>
      <c r="AF30" s="11">
        <v>-20271</v>
      </c>
      <c r="AG30" s="11">
        <v>-30028</v>
      </c>
      <c r="AH30" s="11">
        <v>-40710</v>
      </c>
      <c r="AI30" s="11">
        <v>-10336</v>
      </c>
      <c r="AJ30" s="11">
        <v>-20823</v>
      </c>
      <c r="AK30" s="11">
        <v>-31357</v>
      </c>
      <c r="AL30" s="11">
        <v>-45386</v>
      </c>
      <c r="AM30" s="11">
        <v>-11714</v>
      </c>
      <c r="AN30" s="11">
        <v>-24666</v>
      </c>
      <c r="AO30" s="11">
        <v>-36601</v>
      </c>
      <c r="AP30" s="11">
        <v>-48505</v>
      </c>
      <c r="AQ30" s="11">
        <v>-12858</v>
      </c>
      <c r="AR30" s="11">
        <v>-26617</v>
      </c>
      <c r="AS30" s="11">
        <v>-40623</v>
      </c>
      <c r="AT30" s="11">
        <v>-55001</v>
      </c>
      <c r="AU30" s="11">
        <v>-13348</v>
      </c>
      <c r="AW30" s="15"/>
      <c r="BH30" s="15"/>
      <c r="BI30" s="15"/>
      <c r="BK30" s="15"/>
      <c r="BL30" s="15"/>
      <c r="BM30" s="15"/>
    </row>
    <row r="31" spans="1:65" ht="12.5" thickBot="1">
      <c r="A31" s="55" t="s">
        <v>38</v>
      </c>
      <c r="B31" s="55" t="s">
        <v>89</v>
      </c>
      <c r="C31" s="11">
        <v>-4003</v>
      </c>
      <c r="D31" s="11">
        <v>-8331</v>
      </c>
      <c r="E31" s="11">
        <v>-12541</v>
      </c>
      <c r="F31" s="11">
        <v>-16668</v>
      </c>
      <c r="G31" s="11">
        <v>-4070</v>
      </c>
      <c r="H31" s="11">
        <v>-8092</v>
      </c>
      <c r="I31" s="11">
        <v>-12442</v>
      </c>
      <c r="J31" s="11">
        <v>-16501</v>
      </c>
      <c r="K31" s="11">
        <v>-4022</v>
      </c>
      <c r="L31" s="11">
        <v>-8242</v>
      </c>
      <c r="M31" s="11">
        <v>-12528</v>
      </c>
      <c r="N31" s="11">
        <v>-16511</v>
      </c>
      <c r="O31" s="11">
        <v>-4360</v>
      </c>
      <c r="P31" s="11">
        <v>-8545</v>
      </c>
      <c r="Q31" s="11">
        <v>-13010</v>
      </c>
      <c r="R31" s="11">
        <v>-17551</v>
      </c>
      <c r="S31" s="11">
        <v>-4652</v>
      </c>
      <c r="T31" s="11">
        <v>-9491</v>
      </c>
      <c r="U31" s="11">
        <v>-14426</v>
      </c>
      <c r="V31" s="11">
        <v>-19662</v>
      </c>
      <c r="W31" s="11">
        <v>-4957</v>
      </c>
      <c r="X31" s="11">
        <v>-10304</v>
      </c>
      <c r="Y31" s="11">
        <v>-15489</v>
      </c>
      <c r="Z31" s="11">
        <v>-21227</v>
      </c>
      <c r="AA31" s="11">
        <v>-7541</v>
      </c>
      <c r="AB31" s="11">
        <v>-14473</v>
      </c>
      <c r="AC31" s="11">
        <v>-20724</v>
      </c>
      <c r="AD31" s="11">
        <v>-27322</v>
      </c>
      <c r="AE31" s="11">
        <v>-6322</v>
      </c>
      <c r="AF31" s="11">
        <v>-13092</v>
      </c>
      <c r="AG31" s="11">
        <v>-20497</v>
      </c>
      <c r="AH31" s="11">
        <v>-27536</v>
      </c>
      <c r="AI31" s="11">
        <v>-7161</v>
      </c>
      <c r="AJ31" s="11">
        <v>-15612</v>
      </c>
      <c r="AK31" s="11">
        <v>-24013</v>
      </c>
      <c r="AL31" s="11">
        <v>-32561</v>
      </c>
      <c r="AM31" s="11">
        <v>-8761</v>
      </c>
      <c r="AN31" s="11">
        <v>-17483</v>
      </c>
      <c r="AO31" s="11">
        <v>-26470</v>
      </c>
      <c r="AP31" s="11">
        <v>-34793</v>
      </c>
      <c r="AQ31" s="11">
        <v>-9150</v>
      </c>
      <c r="AR31" s="11">
        <v>-18187</v>
      </c>
      <c r="AS31" s="11">
        <v>-27089</v>
      </c>
      <c r="AT31" s="11">
        <v>-35407</v>
      </c>
      <c r="AU31" s="11">
        <v>-9168</v>
      </c>
      <c r="AW31" s="15"/>
      <c r="BH31" s="15"/>
      <c r="BI31" s="15"/>
      <c r="BK31" s="15"/>
      <c r="BL31" s="15"/>
      <c r="BM31" s="15"/>
    </row>
    <row r="32" spans="1:65" ht="24.5" thickBot="1">
      <c r="A32" s="55" t="s">
        <v>39</v>
      </c>
      <c r="B32" s="55" t="s">
        <v>90</v>
      </c>
      <c r="C32" s="11">
        <v>-6232</v>
      </c>
      <c r="D32" s="11">
        <v>-11657</v>
      </c>
      <c r="E32" s="11">
        <v>-21688</v>
      </c>
      <c r="F32" s="11">
        <v>-24037</v>
      </c>
      <c r="G32" s="11">
        <v>-1804</v>
      </c>
      <c r="H32" s="11">
        <v>-5095</v>
      </c>
      <c r="I32" s="11">
        <v>-8676</v>
      </c>
      <c r="J32" s="11">
        <v>-11921</v>
      </c>
      <c r="K32" s="11">
        <v>-3751</v>
      </c>
      <c r="L32" s="11">
        <v>-8493</v>
      </c>
      <c r="M32" s="11">
        <v>-15590</v>
      </c>
      <c r="N32" s="11">
        <v>-21991</v>
      </c>
      <c r="O32" s="11">
        <v>-5139</v>
      </c>
      <c r="P32" s="11">
        <v>-12797</v>
      </c>
      <c r="Q32" s="11">
        <v>-22498</v>
      </c>
      <c r="R32" s="11">
        <v>-35189</v>
      </c>
      <c r="S32" s="11">
        <v>-4641</v>
      </c>
      <c r="T32" s="11">
        <v>-13451</v>
      </c>
      <c r="U32" s="11">
        <v>-23989</v>
      </c>
      <c r="V32" s="11">
        <v>-28852</v>
      </c>
      <c r="W32" s="11">
        <v>-5719</v>
      </c>
      <c r="X32" s="11">
        <v>-19762</v>
      </c>
      <c r="Y32" s="11">
        <v>-49063</v>
      </c>
      <c r="Z32" s="11">
        <v>-71507</v>
      </c>
      <c r="AA32" s="11">
        <v>-5583</v>
      </c>
      <c r="AB32" s="11">
        <v>-15123</v>
      </c>
      <c r="AC32" s="11">
        <v>-21363</v>
      </c>
      <c r="AD32" s="11">
        <v>-37771</v>
      </c>
      <c r="AE32" s="11">
        <v>-11230</v>
      </c>
      <c r="AF32" s="11">
        <v>-25720</v>
      </c>
      <c r="AG32" s="11">
        <v>-43232</v>
      </c>
      <c r="AH32" s="11">
        <v>-77104</v>
      </c>
      <c r="AI32" s="11">
        <v>-17153</v>
      </c>
      <c r="AJ32" s="11">
        <v>-36408</v>
      </c>
      <c r="AK32" s="11">
        <v>-67104</v>
      </c>
      <c r="AL32" s="11">
        <v>-97393</v>
      </c>
      <c r="AM32" s="11">
        <v>-29574</v>
      </c>
      <c r="AN32" s="11">
        <v>-57699</v>
      </c>
      <c r="AO32" s="11">
        <v>-88621</v>
      </c>
      <c r="AP32" s="11">
        <v>-148839</v>
      </c>
      <c r="AQ32" s="11">
        <v>-40311</v>
      </c>
      <c r="AR32" s="11">
        <v>-77612</v>
      </c>
      <c r="AS32" s="11">
        <v>-117097</v>
      </c>
      <c r="AT32" s="11">
        <v>-181031</v>
      </c>
      <c r="AU32" s="11">
        <v>-33593</v>
      </c>
      <c r="AW32" s="15"/>
      <c r="BH32" s="15"/>
      <c r="BI32" s="15"/>
      <c r="BK32" s="15"/>
      <c r="BL32" s="15"/>
      <c r="BM32" s="15"/>
    </row>
    <row r="33" spans="1:65" ht="12.5" thickBot="1">
      <c r="A33" s="55" t="s">
        <v>40</v>
      </c>
      <c r="B33" s="55" t="s">
        <v>91</v>
      </c>
      <c r="C33" s="11">
        <v>-4076</v>
      </c>
      <c r="D33" s="11">
        <v>-8234</v>
      </c>
      <c r="E33" s="11">
        <v>-12681</v>
      </c>
      <c r="F33" s="11">
        <v>-18018</v>
      </c>
      <c r="G33" s="11">
        <v>-3984</v>
      </c>
      <c r="H33" s="11">
        <v>-8031</v>
      </c>
      <c r="I33" s="11">
        <v>-11152</v>
      </c>
      <c r="J33" s="11">
        <v>-15856</v>
      </c>
      <c r="K33" s="11">
        <v>-4118</v>
      </c>
      <c r="L33" s="11">
        <v>-8406</v>
      </c>
      <c r="M33" s="11">
        <v>-12281</v>
      </c>
      <c r="N33" s="11">
        <v>-17043</v>
      </c>
      <c r="O33" s="11">
        <v>-4098</v>
      </c>
      <c r="P33" s="11">
        <v>-8427</v>
      </c>
      <c r="Q33" s="11">
        <v>-12987</v>
      </c>
      <c r="R33" s="11">
        <v>-17321</v>
      </c>
      <c r="S33" s="11">
        <v>-5092</v>
      </c>
      <c r="T33" s="11">
        <v>-11015</v>
      </c>
      <c r="U33" s="11">
        <v>-16938</v>
      </c>
      <c r="V33" s="11">
        <v>-23261</v>
      </c>
      <c r="W33" s="11">
        <v>-6111</v>
      </c>
      <c r="X33" s="11">
        <v>-13403</v>
      </c>
      <c r="Y33" s="11">
        <v>-22344</v>
      </c>
      <c r="Z33" s="11">
        <v>-31363</v>
      </c>
      <c r="AA33" s="11">
        <v>-8615</v>
      </c>
      <c r="AB33" s="11">
        <v>-17124</v>
      </c>
      <c r="AC33" s="11">
        <v>-24477</v>
      </c>
      <c r="AD33" s="11">
        <v>-34538</v>
      </c>
      <c r="AE33" s="11">
        <v>-8468</v>
      </c>
      <c r="AF33" s="11">
        <v>-17778</v>
      </c>
      <c r="AG33" s="11">
        <v>-25924</v>
      </c>
      <c r="AH33" s="11">
        <v>-33937</v>
      </c>
      <c r="AI33" s="11">
        <v>-8553</v>
      </c>
      <c r="AJ33" s="11">
        <v>-18754</v>
      </c>
      <c r="AK33" s="11">
        <v>-28401</v>
      </c>
      <c r="AL33" s="11">
        <v>-38817</v>
      </c>
      <c r="AM33" s="11">
        <v>-11473</v>
      </c>
      <c r="AN33" s="11">
        <v>-23420</v>
      </c>
      <c r="AO33" s="11">
        <v>-32433</v>
      </c>
      <c r="AP33" s="11">
        <v>-43723</v>
      </c>
      <c r="AQ33" s="11">
        <v>-11844</v>
      </c>
      <c r="AR33" s="11">
        <v>-23750</v>
      </c>
      <c r="AS33" s="11">
        <v>-35447</v>
      </c>
      <c r="AT33" s="11">
        <v>-45207</v>
      </c>
      <c r="AU33" s="11">
        <v>-12834</v>
      </c>
      <c r="AW33" s="15"/>
      <c r="BH33" s="15"/>
      <c r="BI33" s="15"/>
      <c r="BK33" s="15"/>
      <c r="BL33" s="15"/>
      <c r="BM33" s="15"/>
    </row>
    <row r="34" spans="1:65" ht="12.5" thickBot="1">
      <c r="A34" s="55" t="s">
        <v>41</v>
      </c>
      <c r="B34" s="55" t="s">
        <v>92</v>
      </c>
      <c r="C34" s="11">
        <v>-960</v>
      </c>
      <c r="D34" s="11">
        <v>-2027</v>
      </c>
      <c r="E34" s="11">
        <v>-2996</v>
      </c>
      <c r="F34" s="11">
        <v>-4016</v>
      </c>
      <c r="G34" s="11">
        <v>-969</v>
      </c>
      <c r="H34" s="11">
        <v>-1983</v>
      </c>
      <c r="I34" s="11">
        <v>-3006</v>
      </c>
      <c r="J34" s="11">
        <v>-4092</v>
      </c>
      <c r="K34" s="11">
        <v>-1033</v>
      </c>
      <c r="L34" s="11">
        <v>-2141</v>
      </c>
      <c r="M34" s="11">
        <v>-3285</v>
      </c>
      <c r="N34" s="11">
        <v>-4595</v>
      </c>
      <c r="O34" s="11">
        <v>-1155</v>
      </c>
      <c r="P34" s="11">
        <v>-2335</v>
      </c>
      <c r="Q34" s="11">
        <v>-3546</v>
      </c>
      <c r="R34" s="11">
        <v>-4776</v>
      </c>
      <c r="S34" s="11">
        <v>-1294</v>
      </c>
      <c r="T34" s="11">
        <v>-2674</v>
      </c>
      <c r="U34" s="11">
        <v>-4087</v>
      </c>
      <c r="V34" s="11">
        <v>-5589</v>
      </c>
      <c r="W34" s="11">
        <v>-1377</v>
      </c>
      <c r="X34" s="11">
        <v>-3225</v>
      </c>
      <c r="Y34" s="11">
        <v>-5311</v>
      </c>
      <c r="Z34" s="11">
        <v>-7243</v>
      </c>
      <c r="AA34" s="11">
        <v>-1970</v>
      </c>
      <c r="AB34" s="11">
        <v>-3882</v>
      </c>
      <c r="AC34" s="11">
        <v>-5790</v>
      </c>
      <c r="AD34" s="11">
        <v>-8022</v>
      </c>
      <c r="AE34" s="11">
        <v>-2147</v>
      </c>
      <c r="AF34" s="11">
        <v>-4439</v>
      </c>
      <c r="AG34" s="11">
        <v>-6826</v>
      </c>
      <c r="AH34" s="11">
        <v>-9325</v>
      </c>
      <c r="AI34" s="11">
        <v>-2678</v>
      </c>
      <c r="AJ34" s="11">
        <v>-5503</v>
      </c>
      <c r="AK34" s="11">
        <v>-8310</v>
      </c>
      <c r="AL34" s="11">
        <v>-11310</v>
      </c>
      <c r="AM34" s="11">
        <v>-3042</v>
      </c>
      <c r="AN34" s="11">
        <v>-6212</v>
      </c>
      <c r="AO34" s="11">
        <v>-9468</v>
      </c>
      <c r="AP34" s="11">
        <v>-12855</v>
      </c>
      <c r="AQ34" s="11">
        <v>-3685</v>
      </c>
      <c r="AR34" s="11">
        <v>-7345</v>
      </c>
      <c r="AS34" s="11">
        <v>-11016</v>
      </c>
      <c r="AT34" s="11">
        <v>-14814</v>
      </c>
      <c r="AU34" s="11">
        <v>-4088</v>
      </c>
      <c r="AW34" s="15"/>
      <c r="BH34" s="15"/>
      <c r="BI34" s="15"/>
      <c r="BK34" s="15"/>
      <c r="BL34" s="15"/>
      <c r="BM34" s="15"/>
    </row>
    <row r="35" spans="1:65" ht="12.5" thickBot="1">
      <c r="A35" s="55" t="s">
        <v>42</v>
      </c>
      <c r="B35" s="55" t="s">
        <v>93</v>
      </c>
      <c r="C35" s="11">
        <v>-1372</v>
      </c>
      <c r="D35" s="11">
        <v>-2796</v>
      </c>
      <c r="E35" s="11">
        <v>-4070</v>
      </c>
      <c r="F35" s="11">
        <v>-5252</v>
      </c>
      <c r="G35" s="11">
        <v>-1186</v>
      </c>
      <c r="H35" s="11">
        <v>-2506</v>
      </c>
      <c r="I35" s="11">
        <v>-3737</v>
      </c>
      <c r="J35" s="11">
        <v>-5008</v>
      </c>
      <c r="K35" s="11">
        <v>-1243</v>
      </c>
      <c r="L35" s="11">
        <v>-2437</v>
      </c>
      <c r="M35" s="11">
        <v>-3686</v>
      </c>
      <c r="N35" s="11">
        <v>-4830</v>
      </c>
      <c r="O35" s="11">
        <v>-1393</v>
      </c>
      <c r="P35" s="11">
        <v>-2547</v>
      </c>
      <c r="Q35" s="11">
        <v>-3568</v>
      </c>
      <c r="R35" s="11">
        <v>-4663</v>
      </c>
      <c r="S35" s="11">
        <v>-1126</v>
      </c>
      <c r="T35" s="11">
        <v>-2395</v>
      </c>
      <c r="U35" s="11">
        <v>-3673</v>
      </c>
      <c r="V35" s="11">
        <v>-4959</v>
      </c>
      <c r="W35" s="11">
        <v>-1401</v>
      </c>
      <c r="X35" s="11">
        <v>-3057</v>
      </c>
      <c r="Y35" s="11">
        <v>-5240</v>
      </c>
      <c r="Z35" s="11">
        <v>-7397</v>
      </c>
      <c r="AA35" s="11">
        <v>-2158</v>
      </c>
      <c r="AB35" s="11">
        <v>-4378</v>
      </c>
      <c r="AC35" s="11">
        <v>-6487</v>
      </c>
      <c r="AD35" s="11">
        <v>-8183</v>
      </c>
      <c r="AE35" s="11">
        <v>-1832</v>
      </c>
      <c r="AF35" s="11">
        <v>-3568</v>
      </c>
      <c r="AG35" s="11">
        <v>-5370</v>
      </c>
      <c r="AH35" s="11">
        <v>-7147</v>
      </c>
      <c r="AI35" s="11">
        <v>-836</v>
      </c>
      <c r="AJ35" s="11">
        <v>-2621</v>
      </c>
      <c r="AK35" s="11">
        <v>-4495</v>
      </c>
      <c r="AL35" s="11">
        <v>-6537</v>
      </c>
      <c r="AM35" s="11">
        <v>-2002</v>
      </c>
      <c r="AN35" s="11">
        <v>-4098</v>
      </c>
      <c r="AO35" s="11">
        <v>-6347</v>
      </c>
      <c r="AP35" s="11">
        <v>-8548</v>
      </c>
      <c r="AQ35" s="11">
        <v>-2323</v>
      </c>
      <c r="AR35" s="11">
        <v>-4695</v>
      </c>
      <c r="AS35" s="11">
        <v>-7085</v>
      </c>
      <c r="AT35" s="11">
        <v>-9512</v>
      </c>
      <c r="AU35" s="11">
        <v>-2488</v>
      </c>
      <c r="AW35" s="15"/>
      <c r="BH35" s="15"/>
      <c r="BI35" s="15"/>
      <c r="BK35" s="15"/>
      <c r="BL35" s="15"/>
      <c r="BM35" s="15"/>
    </row>
    <row r="36" spans="1:65" ht="24.5" thickBot="1">
      <c r="A36" s="55" t="s">
        <v>529</v>
      </c>
      <c r="B36" s="55" t="s">
        <v>530</v>
      </c>
      <c r="C36" s="5">
        <v>-8901</v>
      </c>
      <c r="D36" s="5">
        <v>-17802</v>
      </c>
      <c r="E36" s="5">
        <v>-26703</v>
      </c>
      <c r="F36" s="5">
        <v>-35604</v>
      </c>
      <c r="G36" s="5">
        <v>-16365</v>
      </c>
      <c r="H36" s="5">
        <v>-32730</v>
      </c>
      <c r="I36" s="5">
        <v>-49094</v>
      </c>
      <c r="J36" s="5">
        <v>-65459</v>
      </c>
      <c r="K36" s="5">
        <v>-15346</v>
      </c>
      <c r="L36" s="5">
        <v>-30560</v>
      </c>
      <c r="M36" s="5">
        <v>-45905</v>
      </c>
      <c r="N36" s="5">
        <v>-60921</v>
      </c>
      <c r="O36" s="5">
        <v>-57069</v>
      </c>
      <c r="P36" s="5">
        <v>-72940</v>
      </c>
      <c r="Q36" s="5">
        <v>-86176.806990000012</v>
      </c>
      <c r="R36" s="5">
        <v>-99298.806990000012</v>
      </c>
      <c r="S36" s="5">
        <v>-54704</v>
      </c>
      <c r="T36" s="5">
        <v>-69623</v>
      </c>
      <c r="U36" s="5">
        <v>-87445</v>
      </c>
      <c r="V36" s="5">
        <v>-105502</v>
      </c>
      <c r="W36" s="5">
        <v>-84022</v>
      </c>
      <c r="X36" s="5">
        <v>-96050</v>
      </c>
      <c r="Y36" s="5">
        <v>-109580</v>
      </c>
      <c r="Z36" s="5">
        <v>-123468</v>
      </c>
      <c r="AA36" s="5">
        <v>-85075</v>
      </c>
      <c r="AB36" s="5">
        <v>-113066</v>
      </c>
      <c r="AC36" s="5">
        <v>-140389</v>
      </c>
      <c r="AD36" s="5">
        <v>-167190</v>
      </c>
      <c r="AE36" s="5">
        <v>-53136</v>
      </c>
      <c r="AF36" s="5">
        <v>-83319</v>
      </c>
      <c r="AG36" s="5">
        <v>-100725</v>
      </c>
      <c r="AH36" s="5">
        <v>-118217</v>
      </c>
      <c r="AI36" s="11">
        <v>-85847</v>
      </c>
      <c r="AJ36" s="11">
        <f>-120677-251700</f>
        <v>-372377</v>
      </c>
      <c r="AK36" s="11">
        <f>-120686-276120</f>
        <v>-396806</v>
      </c>
      <c r="AL36" s="11">
        <v>-397236</v>
      </c>
      <c r="AM36" s="5">
        <v>-83434</v>
      </c>
      <c r="AN36" s="5">
        <v>-60039</v>
      </c>
      <c r="AO36" s="5">
        <v>-60039</v>
      </c>
      <c r="AP36" s="5">
        <v>-60039</v>
      </c>
      <c r="AQ36" s="5">
        <v>-60906</v>
      </c>
      <c r="AR36" s="5">
        <v>-60850</v>
      </c>
      <c r="AS36" s="5">
        <v>-60850</v>
      </c>
      <c r="AT36" s="5">
        <v>-60850</v>
      </c>
      <c r="AU36" s="5">
        <v>-94359</v>
      </c>
      <c r="AW36" s="15"/>
      <c r="BH36" s="15"/>
      <c r="BI36" s="15"/>
      <c r="BK36" s="15"/>
      <c r="BL36" s="15"/>
      <c r="BM36" s="15"/>
    </row>
    <row r="37" spans="1:65" ht="12.5" thickBot="1">
      <c r="A37" s="55" t="s">
        <v>43</v>
      </c>
      <c r="B37" s="55" t="s">
        <v>94</v>
      </c>
      <c r="C37" s="11">
        <v>-1574</v>
      </c>
      <c r="D37" s="11">
        <v>-2672</v>
      </c>
      <c r="E37" s="11">
        <v>-3689</v>
      </c>
      <c r="F37" s="11">
        <v>-4351</v>
      </c>
      <c r="G37" s="11">
        <v>-841</v>
      </c>
      <c r="H37" s="11">
        <v>-1678</v>
      </c>
      <c r="I37" s="11">
        <v>-2883</v>
      </c>
      <c r="J37" s="11">
        <v>-4578</v>
      </c>
      <c r="K37" s="11">
        <v>-1340</v>
      </c>
      <c r="L37" s="11">
        <v>-2679</v>
      </c>
      <c r="M37" s="11">
        <v>-3940</v>
      </c>
      <c r="N37" s="11">
        <v>-4682</v>
      </c>
      <c r="O37" s="11">
        <v>-1257</v>
      </c>
      <c r="P37" s="11">
        <v>-2538</v>
      </c>
      <c r="Q37" s="11">
        <v>-1756</v>
      </c>
      <c r="R37" s="11">
        <v>-2375</v>
      </c>
      <c r="S37" s="11">
        <v>-1337</v>
      </c>
      <c r="T37" s="11">
        <v>-2687</v>
      </c>
      <c r="U37" s="11">
        <v>-5299</v>
      </c>
      <c r="V37" s="11">
        <v>-6924</v>
      </c>
      <c r="W37" s="11">
        <v>-1621</v>
      </c>
      <c r="X37" s="11">
        <v>-3393</v>
      </c>
      <c r="Y37" s="11">
        <v>-7483</v>
      </c>
      <c r="Z37" s="11">
        <v>-10350</v>
      </c>
      <c r="AA37" s="11">
        <v>-2501</v>
      </c>
      <c r="AB37" s="11">
        <v>-5223</v>
      </c>
      <c r="AC37" s="11">
        <v>-7704</v>
      </c>
      <c r="AD37" s="11">
        <v>-10283</v>
      </c>
      <c r="AE37" s="11">
        <v>-3166</v>
      </c>
      <c r="AF37" s="11">
        <v>-6346</v>
      </c>
      <c r="AG37" s="11">
        <v>-9696</v>
      </c>
      <c r="AH37" s="11">
        <v>-12776</v>
      </c>
      <c r="AI37" s="11">
        <v>-3109</v>
      </c>
      <c r="AJ37" s="11">
        <v>-6252</v>
      </c>
      <c r="AK37" s="11">
        <v>-9590</v>
      </c>
      <c r="AL37" s="11">
        <v>-12657</v>
      </c>
      <c r="AM37" s="11">
        <v>-4585</v>
      </c>
      <c r="AN37" s="11">
        <v>-7748</v>
      </c>
      <c r="AO37" s="11">
        <v>-11054</v>
      </c>
      <c r="AP37" s="11">
        <v>-14216</v>
      </c>
      <c r="AQ37" s="11">
        <v>-5129</v>
      </c>
      <c r="AR37" s="11">
        <v>-8761</v>
      </c>
      <c r="AS37" s="11">
        <v>-13088</v>
      </c>
      <c r="AT37" s="11">
        <v>-16591</v>
      </c>
      <c r="AU37" s="11">
        <v>-5934</v>
      </c>
      <c r="AW37" s="15"/>
      <c r="BH37" s="15"/>
      <c r="BI37" s="15"/>
      <c r="BK37" s="15"/>
      <c r="BL37" s="15"/>
      <c r="BM37" s="15"/>
    </row>
    <row r="38" spans="1:65" ht="12.5" thickBot="1">
      <c r="A38" s="55" t="s">
        <v>32</v>
      </c>
      <c r="B38" s="55" t="s">
        <v>95</v>
      </c>
      <c r="C38" s="11">
        <v>-13739.663189999999</v>
      </c>
      <c r="D38" s="11">
        <v>-30813.898099999999</v>
      </c>
      <c r="E38" s="11">
        <v>-42868</v>
      </c>
      <c r="F38" s="11">
        <v>-59801</v>
      </c>
      <c r="G38" s="11">
        <v>-11665</v>
      </c>
      <c r="H38" s="11">
        <v>-25844</v>
      </c>
      <c r="I38" s="11">
        <v>-37226</v>
      </c>
      <c r="J38" s="11">
        <v>-50779</v>
      </c>
      <c r="K38" s="11">
        <v>-11156</v>
      </c>
      <c r="L38" s="11">
        <v>-22288</v>
      </c>
      <c r="M38" s="11">
        <v>-33148</v>
      </c>
      <c r="N38" s="11">
        <v>-48198</v>
      </c>
      <c r="O38" s="11">
        <v>-9572</v>
      </c>
      <c r="P38" s="11">
        <v>-24851</v>
      </c>
      <c r="Q38" s="11">
        <v>-39399</v>
      </c>
      <c r="R38" s="11">
        <v>-56829</v>
      </c>
      <c r="S38" s="11">
        <v>-15028</v>
      </c>
      <c r="T38" s="11">
        <v>-23744</v>
      </c>
      <c r="U38" s="11">
        <v>-41149</v>
      </c>
      <c r="V38" s="11">
        <v>-59589</v>
      </c>
      <c r="W38" s="11">
        <v>-15227</v>
      </c>
      <c r="X38" s="11">
        <v>-19187</v>
      </c>
      <c r="Y38" s="11">
        <v>-45457</v>
      </c>
      <c r="Z38" s="11">
        <v>-77501</v>
      </c>
      <c r="AA38" s="11">
        <v>-23489</v>
      </c>
      <c r="AB38" s="11">
        <v>-26480</v>
      </c>
      <c r="AC38" s="11">
        <v>-48393</v>
      </c>
      <c r="AD38" s="11">
        <v>-72243</v>
      </c>
      <c r="AE38" s="11">
        <v>-15405</v>
      </c>
      <c r="AF38" s="11">
        <v>-4676</v>
      </c>
      <c r="AG38" s="11">
        <v>-27011</v>
      </c>
      <c r="AH38" s="11">
        <v>-52926</v>
      </c>
      <c r="AI38" s="11">
        <v>-22015</v>
      </c>
      <c r="AJ38" s="11">
        <v>-11272</v>
      </c>
      <c r="AK38" s="11">
        <v>-37162</v>
      </c>
      <c r="AL38" s="11">
        <v>-71969</v>
      </c>
      <c r="AM38" s="11">
        <v>4531</v>
      </c>
      <c r="AN38" s="11">
        <v>-16854</v>
      </c>
      <c r="AO38" s="11">
        <v>-45390</v>
      </c>
      <c r="AP38" s="11">
        <v>-80681</v>
      </c>
      <c r="AQ38" s="11">
        <v>-34896</v>
      </c>
      <c r="AR38" s="11">
        <v>-33132</v>
      </c>
      <c r="AS38" s="11">
        <v>-63768</v>
      </c>
      <c r="AT38" s="11">
        <v>-104172</v>
      </c>
      <c r="AU38" s="11">
        <v>-34170</v>
      </c>
      <c r="AW38" s="15"/>
      <c r="BH38" s="15"/>
      <c r="BI38" s="15"/>
      <c r="BK38" s="15"/>
      <c r="BL38" s="15"/>
      <c r="BM38" s="15"/>
    </row>
    <row r="39" spans="1:65" ht="12.5" thickBot="1">
      <c r="A39" s="48" t="s">
        <v>33</v>
      </c>
      <c r="B39" s="48" t="s">
        <v>83</v>
      </c>
      <c r="C39" s="3">
        <v>-261161</v>
      </c>
      <c r="D39" s="3">
        <v>-527554</v>
      </c>
      <c r="E39" s="3">
        <v>-792487</v>
      </c>
      <c r="F39" s="3">
        <v>-1056053</v>
      </c>
      <c r="G39" s="3">
        <v>-262514</v>
      </c>
      <c r="H39" s="3">
        <f t="shared" ref="H39:M39" si="32">SUM(H25:H26)</f>
        <v>-521230</v>
      </c>
      <c r="I39" s="3">
        <f t="shared" si="32"/>
        <v>-774629</v>
      </c>
      <c r="J39" s="3">
        <f t="shared" si="32"/>
        <v>-1036614</v>
      </c>
      <c r="K39" s="3">
        <f t="shared" si="32"/>
        <v>-258360</v>
      </c>
      <c r="L39" s="3">
        <f t="shared" si="32"/>
        <v>-524441</v>
      </c>
      <c r="M39" s="3">
        <f t="shared" si="32"/>
        <v>-789217</v>
      </c>
      <c r="N39" s="3">
        <f t="shared" ref="N39:S39" si="33">SUM(N25:N26)</f>
        <v>-1057466</v>
      </c>
      <c r="O39" s="3">
        <f t="shared" si="33"/>
        <v>-301331</v>
      </c>
      <c r="P39" s="3">
        <f t="shared" si="33"/>
        <v>-580809</v>
      </c>
      <c r="Q39" s="3">
        <f t="shared" si="33"/>
        <v>-858328.80698999995</v>
      </c>
      <c r="R39" s="3">
        <f t="shared" si="33"/>
        <v>-1149722.80699</v>
      </c>
      <c r="S39" s="3">
        <f t="shared" si="33"/>
        <v>-316822</v>
      </c>
      <c r="T39" s="3">
        <f>SUM(T25:T26)</f>
        <v>-605603</v>
      </c>
      <c r="U39" s="3">
        <f>SUM(U25:U26)</f>
        <v>-908373</v>
      </c>
      <c r="V39" s="3">
        <f t="shared" ref="V39:AM39" si="34">+V26+V25</f>
        <v>-1213765</v>
      </c>
      <c r="W39" s="3">
        <f t="shared" si="34"/>
        <v>-351056</v>
      </c>
      <c r="X39" s="3">
        <f t="shared" si="34"/>
        <v>-682988</v>
      </c>
      <c r="Y39" s="3">
        <f t="shared" si="34"/>
        <v>-1109436</v>
      </c>
      <c r="Z39" s="3">
        <f t="shared" si="34"/>
        <v>-1545183</v>
      </c>
      <c r="AA39" s="3">
        <f t="shared" si="34"/>
        <v>-464566</v>
      </c>
      <c r="AB39" s="3">
        <f t="shared" si="34"/>
        <v>-815812</v>
      </c>
      <c r="AC39" s="3">
        <f t="shared" si="34"/>
        <v>-1176160</v>
      </c>
      <c r="AD39" s="3">
        <f t="shared" si="34"/>
        <v>-1542379</v>
      </c>
      <c r="AE39" s="3">
        <f t="shared" si="34"/>
        <v>-375885</v>
      </c>
      <c r="AF39" s="3">
        <f t="shared" si="34"/>
        <v>-705189</v>
      </c>
      <c r="AG39" s="3">
        <f t="shared" si="34"/>
        <v>-1057305</v>
      </c>
      <c r="AH39" s="3">
        <f t="shared" si="34"/>
        <v>-1440706</v>
      </c>
      <c r="AI39" s="3">
        <f t="shared" si="34"/>
        <v>-434626</v>
      </c>
      <c r="AJ39" s="3">
        <f t="shared" si="34"/>
        <v>-1058829</v>
      </c>
      <c r="AK39" s="3">
        <f t="shared" si="34"/>
        <v>-1468157</v>
      </c>
      <c r="AL39" s="3">
        <f t="shared" si="34"/>
        <v>-1884259</v>
      </c>
      <c r="AM39" s="3">
        <f t="shared" si="34"/>
        <v>-469294</v>
      </c>
      <c r="AN39" s="3">
        <f t="shared" ref="AN39:AS39" si="35">+AN26+AN25</f>
        <v>-864529</v>
      </c>
      <c r="AO39" s="3">
        <f t="shared" si="35"/>
        <v>-1305103</v>
      </c>
      <c r="AP39" s="3">
        <f t="shared" si="35"/>
        <v>-1781439</v>
      </c>
      <c r="AQ39" s="3">
        <f t="shared" si="35"/>
        <v>-544039</v>
      </c>
      <c r="AR39" s="3">
        <f t="shared" si="35"/>
        <v>-993752</v>
      </c>
      <c r="AS39" s="3">
        <f t="shared" si="35"/>
        <v>-1489393</v>
      </c>
      <c r="AT39" s="3">
        <f t="shared" ref="AT39:AU39" si="36">+AT26+AT25</f>
        <v>-2026444</v>
      </c>
      <c r="AU39" s="3">
        <f t="shared" si="36"/>
        <v>-611257</v>
      </c>
      <c r="AW39" s="15"/>
      <c r="BH39" s="15"/>
      <c r="BI39" s="15"/>
      <c r="BK39" s="15"/>
      <c r="BL39" s="15"/>
      <c r="BM39" s="15"/>
    </row>
    <row r="40" spans="1:65">
      <c r="A40" s="1" t="s">
        <v>139</v>
      </c>
    </row>
    <row r="41" spans="1:65">
      <c r="A41" s="1" t="s">
        <v>247</v>
      </c>
    </row>
    <row r="42" spans="1:65">
      <c r="A42" s="98" t="s">
        <v>142</v>
      </c>
      <c r="B42" s="98" t="s">
        <v>144</v>
      </c>
      <c r="C42" s="11">
        <v>5878</v>
      </c>
      <c r="D42" s="11">
        <v>5883</v>
      </c>
      <c r="E42" s="11">
        <v>6134</v>
      </c>
      <c r="F42" s="11">
        <v>6108</v>
      </c>
      <c r="G42" s="11">
        <v>6000</v>
      </c>
      <c r="H42" s="11">
        <v>5939</v>
      </c>
      <c r="I42" s="11">
        <v>5917</v>
      </c>
      <c r="J42" s="11">
        <v>5911</v>
      </c>
      <c r="K42" s="11">
        <v>5877</v>
      </c>
      <c r="L42" s="11">
        <v>5897</v>
      </c>
      <c r="M42" s="11">
        <v>5839</v>
      </c>
      <c r="N42" s="11">
        <v>5844</v>
      </c>
      <c r="O42" s="11">
        <v>5854</v>
      </c>
      <c r="P42" s="11">
        <v>5865</v>
      </c>
      <c r="Q42" s="11">
        <v>5852</v>
      </c>
      <c r="R42" s="11">
        <v>5830</v>
      </c>
      <c r="S42" s="11">
        <v>5848</v>
      </c>
      <c r="T42" s="11">
        <v>5846</v>
      </c>
      <c r="U42" s="11">
        <v>5950</v>
      </c>
      <c r="V42" s="11">
        <v>6132</v>
      </c>
      <c r="W42" s="11">
        <v>6183</v>
      </c>
      <c r="X42" s="11">
        <v>8550</v>
      </c>
      <c r="Y42" s="11">
        <f>8564</f>
        <v>8564</v>
      </c>
      <c r="Z42" s="11">
        <v>8464</v>
      </c>
      <c r="AA42" s="11">
        <v>8412</v>
      </c>
      <c r="AB42" s="12">
        <v>8141</v>
      </c>
      <c r="AC42" s="12">
        <v>7846</v>
      </c>
      <c r="AD42" s="11">
        <v>7493</v>
      </c>
      <c r="AE42" s="11">
        <v>7238</v>
      </c>
      <c r="AF42" s="11">
        <v>7148</v>
      </c>
      <c r="AG42" s="11">
        <v>7035</v>
      </c>
      <c r="AH42" s="11">
        <v>6942.1500000000015</v>
      </c>
      <c r="AI42" s="11">
        <v>6842.3800000000019</v>
      </c>
      <c r="AJ42" s="11">
        <v>6735</v>
      </c>
      <c r="AK42" s="11">
        <v>6778</v>
      </c>
      <c r="AL42" s="11">
        <v>6859.6100000000015</v>
      </c>
      <c r="AM42" s="11">
        <v>6814.8400000000011</v>
      </c>
      <c r="AN42" s="11">
        <v>6746</v>
      </c>
      <c r="AO42" s="11">
        <v>6775.8800000000019</v>
      </c>
      <c r="AP42" s="11">
        <v>6747.4100000000026</v>
      </c>
      <c r="AQ42" s="11">
        <v>6730.8800000000019</v>
      </c>
      <c r="AR42" s="11">
        <v>6709.9600000000019</v>
      </c>
      <c r="AS42" s="11">
        <v>6695.8900000000012</v>
      </c>
      <c r="AT42" s="11">
        <v>6713.880000000001</v>
      </c>
      <c r="AU42" s="11">
        <v>6726.25</v>
      </c>
    </row>
    <row r="43" spans="1:65">
      <c r="A43" s="98" t="s">
        <v>486</v>
      </c>
      <c r="B43" s="98" t="s">
        <v>487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>
        <v>7645.9799999999987</v>
      </c>
      <c r="AA43" s="11">
        <v>7629.52</v>
      </c>
      <c r="AB43" s="11">
        <v>7335.1100000000006</v>
      </c>
      <c r="AC43" s="11">
        <v>7014.11</v>
      </c>
      <c r="AD43" s="11">
        <v>6602</v>
      </c>
      <c r="AE43" s="11">
        <v>6450</v>
      </c>
      <c r="AF43" s="11">
        <v>6454</v>
      </c>
      <c r="AG43" s="11">
        <v>6366</v>
      </c>
      <c r="AH43" s="11">
        <v>6245.170000000001</v>
      </c>
      <c r="AI43" s="11">
        <v>6210.7800000000007</v>
      </c>
      <c r="AJ43" s="11">
        <v>6139</v>
      </c>
      <c r="AK43" s="11">
        <v>6219</v>
      </c>
      <c r="AL43" s="11">
        <v>6324.7900000000009</v>
      </c>
      <c r="AM43" s="11">
        <v>6306.2700000000023</v>
      </c>
      <c r="AN43" s="11">
        <v>6240.7200000000021</v>
      </c>
      <c r="AO43" s="11">
        <v>6306.4000000000015</v>
      </c>
      <c r="AP43" s="11">
        <v>6319.7800000000016</v>
      </c>
      <c r="AQ43" s="11">
        <v>6330.2200000000021</v>
      </c>
      <c r="AR43" s="11">
        <v>6313.130000000001</v>
      </c>
      <c r="AS43" s="11">
        <v>6338.3200000000015</v>
      </c>
      <c r="AT43" s="11">
        <v>6355.3600000000006</v>
      </c>
      <c r="AU43" s="11">
        <v>6355.25</v>
      </c>
    </row>
    <row r="44" spans="1:65">
      <c r="A44" s="98" t="s">
        <v>143</v>
      </c>
      <c r="B44" s="98" t="s">
        <v>145</v>
      </c>
      <c r="C44" s="11">
        <v>435</v>
      </c>
      <c r="D44" s="11">
        <v>430</v>
      </c>
      <c r="E44" s="11">
        <v>426</v>
      </c>
      <c r="F44" s="11">
        <v>423</v>
      </c>
      <c r="G44" s="11">
        <v>418</v>
      </c>
      <c r="H44" s="11">
        <v>411</v>
      </c>
      <c r="I44" s="11">
        <v>410</v>
      </c>
      <c r="J44" s="11">
        <v>411</v>
      </c>
      <c r="K44" s="11">
        <v>406</v>
      </c>
      <c r="L44" s="11">
        <v>394</v>
      </c>
      <c r="M44" s="11">
        <v>381</v>
      </c>
      <c r="N44" s="11">
        <v>369</v>
      </c>
      <c r="O44" s="11">
        <v>365</v>
      </c>
      <c r="P44" s="11">
        <v>360</v>
      </c>
      <c r="Q44" s="11">
        <v>359</v>
      </c>
      <c r="R44" s="11">
        <v>355</v>
      </c>
      <c r="S44" s="11">
        <v>356</v>
      </c>
      <c r="T44" s="11">
        <v>359</v>
      </c>
      <c r="U44" s="11">
        <v>356</v>
      </c>
      <c r="V44" s="11">
        <v>361</v>
      </c>
      <c r="W44" s="5">
        <v>368</v>
      </c>
      <c r="X44" s="5">
        <v>839</v>
      </c>
      <c r="Y44" s="5">
        <v>833</v>
      </c>
      <c r="Z44" s="5">
        <v>830</v>
      </c>
      <c r="AA44" s="5">
        <v>799</v>
      </c>
      <c r="AB44" s="5">
        <v>766</v>
      </c>
      <c r="AC44" s="5">
        <v>726</v>
      </c>
      <c r="AD44" s="5">
        <v>702</v>
      </c>
      <c r="AE44" s="5">
        <v>678</v>
      </c>
      <c r="AF44" s="5">
        <v>676</v>
      </c>
      <c r="AG44" s="5">
        <v>665</v>
      </c>
      <c r="AH44" s="5">
        <v>655</v>
      </c>
      <c r="AI44" s="5">
        <v>646</v>
      </c>
      <c r="AJ44" s="5">
        <v>635</v>
      </c>
      <c r="AK44" s="5">
        <v>633</v>
      </c>
      <c r="AL44" s="5">
        <v>635</v>
      </c>
      <c r="AM44" s="5">
        <v>622</v>
      </c>
      <c r="AN44" s="5">
        <v>621</v>
      </c>
      <c r="AO44" s="5">
        <v>615</v>
      </c>
      <c r="AP44" s="5">
        <v>612</v>
      </c>
      <c r="AQ44" s="5">
        <v>611</v>
      </c>
      <c r="AR44" s="5">
        <v>609</v>
      </c>
      <c r="AS44" s="5">
        <v>610</v>
      </c>
      <c r="AT44" s="5">
        <v>606</v>
      </c>
      <c r="AU44" s="5">
        <v>605</v>
      </c>
    </row>
    <row r="45" spans="1:65">
      <c r="A45" s="1" t="s">
        <v>488</v>
      </c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J45" s="82"/>
      <c r="AK45" s="82"/>
      <c r="AL45" s="82"/>
      <c r="AY45" s="15"/>
      <c r="AZ45" s="15"/>
      <c r="BA45" s="15"/>
      <c r="BB45" s="15"/>
      <c r="BC45" s="15"/>
      <c r="BD45" s="15"/>
      <c r="BE45" s="15"/>
      <c r="BF45" s="15"/>
      <c r="BG45" s="15"/>
    </row>
    <row r="46" spans="1:65"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J46" s="82"/>
      <c r="AK46" s="82"/>
      <c r="AL46" s="82"/>
      <c r="AY46" s="15"/>
      <c r="AZ46" s="15"/>
      <c r="BA46" s="15"/>
      <c r="BB46" s="15"/>
      <c r="BC46" s="15"/>
      <c r="BD46" s="15"/>
      <c r="BE46" s="15"/>
      <c r="BF46" s="15"/>
      <c r="BG46" s="15"/>
    </row>
    <row r="47" spans="1:65"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14"/>
      <c r="AJ47" s="82"/>
      <c r="AK47" s="82"/>
      <c r="AL47" s="82"/>
      <c r="AY47" s="15"/>
      <c r="AZ47" s="15"/>
      <c r="BA47" s="15"/>
      <c r="BB47" s="15"/>
      <c r="BC47" s="15"/>
      <c r="BD47" s="15"/>
      <c r="BE47" s="15"/>
      <c r="BF47" s="15"/>
      <c r="BG47" s="15"/>
    </row>
    <row r="48" spans="1:65"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Y48" s="15"/>
      <c r="AZ48" s="15"/>
      <c r="BA48" s="15"/>
      <c r="BB48" s="15"/>
      <c r="BC48" s="15"/>
      <c r="BD48" s="15"/>
      <c r="BE48" s="15"/>
      <c r="BF48" s="15"/>
      <c r="BG48" s="15"/>
    </row>
    <row r="50" spans="15:16">
      <c r="O50" s="14"/>
      <c r="P50" s="14"/>
    </row>
  </sheetData>
  <pageMargins left="0.23622047244094491" right="0.23622047244094491" top="0.74803149606299213" bottom="0.74803149606299213" header="0.31496062992125984" footer="0.31496062992125984"/>
  <pageSetup paperSize="9" scale="57" orientation="landscape" r:id="rId1"/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6028B-5857-4EB9-A040-9CE0FE3784E0}">
  <sheetPr>
    <tabColor rgb="FFFFC000"/>
  </sheetPr>
  <dimension ref="A1:AP67"/>
  <sheetViews>
    <sheetView zoomScale="90" zoomScaleNormal="90" workbookViewId="0">
      <pane xSplit="2" ySplit="3" topLeftCell="K4" activePane="bottomRight" state="frozen"/>
      <selection activeCell="L1" sqref="L1:L1048576"/>
      <selection pane="topRight" activeCell="L1" sqref="L1:L1048576"/>
      <selection pane="bottomLeft" activeCell="L1" sqref="L1:L1048576"/>
      <selection pane="bottomRight"/>
    </sheetView>
  </sheetViews>
  <sheetFormatPr defaultRowHeight="14.5"/>
  <cols>
    <col min="1" max="1" width="34.08203125" customWidth="1"/>
    <col min="2" max="2" width="35.75" customWidth="1"/>
    <col min="3" max="3" width="12.58203125" customWidth="1"/>
    <col min="4" max="16" width="11.33203125" customWidth="1"/>
    <col min="20" max="20" width="10.5" customWidth="1"/>
    <col min="21" max="21" width="12.25" customWidth="1"/>
    <col min="22" max="24" width="11.08203125" customWidth="1"/>
  </cols>
  <sheetData>
    <row r="1" spans="1:42" s="1" customFormat="1" ht="15.5">
      <c r="A1" s="39" t="s">
        <v>607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266"/>
      <c r="M1" s="266"/>
      <c r="N1" s="266"/>
      <c r="O1" s="266"/>
      <c r="P1" s="262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K1" s="15"/>
      <c r="AL1" s="15"/>
      <c r="AM1" s="15"/>
      <c r="AN1" s="15"/>
      <c r="AO1" s="15"/>
      <c r="AP1" s="15"/>
    </row>
    <row r="2" spans="1:42" s="1" customFormat="1" ht="15.5">
      <c r="A2" s="39" t="s">
        <v>606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263" t="s">
        <v>694</v>
      </c>
      <c r="M2" s="262"/>
      <c r="N2" s="262"/>
      <c r="O2" s="262"/>
      <c r="P2" s="262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54"/>
      <c r="AK2" s="15"/>
      <c r="AL2" s="15"/>
      <c r="AM2" s="15"/>
      <c r="AN2" s="15"/>
      <c r="AO2" s="15"/>
      <c r="AP2" s="14"/>
    </row>
    <row r="3" spans="1:42" ht="24">
      <c r="A3" s="98" t="s">
        <v>395</v>
      </c>
      <c r="B3" s="98" t="s">
        <v>99</v>
      </c>
      <c r="C3" s="115"/>
      <c r="D3" s="115" t="s">
        <v>515</v>
      </c>
      <c r="E3" s="115" t="s">
        <v>523</v>
      </c>
      <c r="F3" s="115" t="s">
        <v>527</v>
      </c>
      <c r="G3" s="115" t="s">
        <v>533</v>
      </c>
      <c r="H3" s="115" t="s">
        <v>547</v>
      </c>
      <c r="I3" s="115" t="s">
        <v>648</v>
      </c>
      <c r="J3" s="115" t="s">
        <v>652</v>
      </c>
      <c r="K3" s="115" t="s">
        <v>661</v>
      </c>
      <c r="L3" s="115" t="s">
        <v>666</v>
      </c>
      <c r="M3" s="115" t="s">
        <v>672</v>
      </c>
      <c r="N3" s="115" t="s">
        <v>680</v>
      </c>
      <c r="O3" s="115" t="s">
        <v>685</v>
      </c>
      <c r="P3" s="115" t="s">
        <v>690</v>
      </c>
    </row>
    <row r="4" spans="1:42" s="1" customFormat="1" ht="12.5" thickBot="1">
      <c r="A4" s="211" t="s">
        <v>582</v>
      </c>
      <c r="B4" s="211" t="s">
        <v>592</v>
      </c>
      <c r="C4" s="218"/>
      <c r="D4" s="218">
        <f t="shared" ref="D4:D18" si="0">D23</f>
        <v>837721</v>
      </c>
      <c r="E4" s="218">
        <f t="shared" ref="E4:G18" si="1">E23-D23</f>
        <v>1140926</v>
      </c>
      <c r="F4" s="218">
        <f t="shared" si="1"/>
        <v>-195004</v>
      </c>
      <c r="G4" s="218">
        <f>G23-F23</f>
        <v>1304934</v>
      </c>
      <c r="H4" s="218">
        <f>H23</f>
        <v>1149846</v>
      </c>
      <c r="I4" s="218">
        <f t="shared" ref="I4:K18" si="2">I23-H23</f>
        <v>1193593</v>
      </c>
      <c r="J4" s="218">
        <f>J23-I23</f>
        <v>1217326</v>
      </c>
      <c r="K4" s="218">
        <f>K23-J23</f>
        <v>1123425</v>
      </c>
      <c r="L4" s="264">
        <f>L23</f>
        <v>1133335</v>
      </c>
      <c r="M4" s="218">
        <f t="shared" ref="M4:O18" si="3">M23-L23</f>
        <v>1029427</v>
      </c>
      <c r="N4" s="218">
        <f>N23-M23</f>
        <v>1305674</v>
      </c>
      <c r="O4" s="218">
        <f>O23-N23</f>
        <v>1321279</v>
      </c>
      <c r="P4" s="218">
        <f>P23</f>
        <v>1220504</v>
      </c>
    </row>
    <row r="5" spans="1:42" s="1" customFormat="1" ht="12.5" thickBot="1">
      <c r="A5" s="211" t="s">
        <v>1</v>
      </c>
      <c r="B5" s="211" t="s">
        <v>593</v>
      </c>
      <c r="C5" s="218"/>
      <c r="D5" s="218">
        <f t="shared" si="0"/>
        <v>169395</v>
      </c>
      <c r="E5" s="218">
        <f t="shared" si="1"/>
        <v>164286</v>
      </c>
      <c r="F5" s="218">
        <f t="shared" si="1"/>
        <v>111007</v>
      </c>
      <c r="G5" s="218">
        <f t="shared" si="1"/>
        <v>152534</v>
      </c>
      <c r="H5" s="218">
        <f t="shared" ref="H5:H18" si="4">H24</f>
        <v>150157</v>
      </c>
      <c r="I5" s="218">
        <f t="shared" si="2"/>
        <v>154726</v>
      </c>
      <c r="J5" s="218">
        <f t="shared" si="2"/>
        <v>141527</v>
      </c>
      <c r="K5" s="218">
        <f t="shared" si="2"/>
        <v>144341</v>
      </c>
      <c r="L5" s="264">
        <f t="shared" ref="L5:L18" si="5">L24</f>
        <v>144484</v>
      </c>
      <c r="M5" s="218">
        <f t="shared" si="3"/>
        <v>152925</v>
      </c>
      <c r="N5" s="218">
        <f t="shared" si="3"/>
        <v>154115</v>
      </c>
      <c r="O5" s="218">
        <f t="shared" si="3"/>
        <v>144425</v>
      </c>
      <c r="P5" s="218">
        <f t="shared" ref="P5:P18" si="6">P24</f>
        <v>129765</v>
      </c>
    </row>
    <row r="6" spans="1:42" s="1" customFormat="1" ht="24.5" thickBot="1">
      <c r="A6" s="211" t="s">
        <v>583</v>
      </c>
      <c r="B6" s="211" t="s">
        <v>598</v>
      </c>
      <c r="C6" s="218"/>
      <c r="D6" s="218">
        <f t="shared" si="0"/>
        <v>32441</v>
      </c>
      <c r="E6" s="218">
        <f t="shared" si="1"/>
        <v>39857</v>
      </c>
      <c r="F6" s="218">
        <f t="shared" si="1"/>
        <v>35753</v>
      </c>
      <c r="G6" s="218">
        <f t="shared" si="1"/>
        <v>32669</v>
      </c>
      <c r="H6" s="218">
        <f t="shared" si="4"/>
        <v>32876</v>
      </c>
      <c r="I6" s="218">
        <f t="shared" si="2"/>
        <v>33359</v>
      </c>
      <c r="J6" s="218">
        <f t="shared" si="2"/>
        <v>34534</v>
      </c>
      <c r="K6" s="218">
        <f t="shared" si="2"/>
        <v>31932</v>
      </c>
      <c r="L6" s="264">
        <f t="shared" si="5"/>
        <v>24659</v>
      </c>
      <c r="M6" s="218">
        <f t="shared" si="3"/>
        <v>38554</v>
      </c>
      <c r="N6" s="218">
        <f t="shared" si="3"/>
        <v>31152</v>
      </c>
      <c r="O6" s="218">
        <f t="shared" si="3"/>
        <v>40729</v>
      </c>
      <c r="P6" s="218">
        <f t="shared" si="6"/>
        <v>25623</v>
      </c>
    </row>
    <row r="7" spans="1:42" s="1" customFormat="1" ht="36.5" thickBot="1">
      <c r="A7" s="211" t="s">
        <v>584</v>
      </c>
      <c r="B7" s="211" t="s">
        <v>602</v>
      </c>
      <c r="C7" s="218"/>
      <c r="D7" s="218">
        <f t="shared" si="0"/>
        <v>2081</v>
      </c>
      <c r="E7" s="218">
        <f t="shared" si="1"/>
        <v>3490</v>
      </c>
      <c r="F7" s="218">
        <f t="shared" si="1"/>
        <v>8058</v>
      </c>
      <c r="G7" s="218">
        <f t="shared" si="1"/>
        <v>-1126</v>
      </c>
      <c r="H7" s="218">
        <f t="shared" si="4"/>
        <v>-2671</v>
      </c>
      <c r="I7" s="218">
        <f t="shared" si="2"/>
        <v>429</v>
      </c>
      <c r="J7" s="218">
        <f t="shared" si="2"/>
        <v>1970</v>
      </c>
      <c r="K7" s="218">
        <f t="shared" si="2"/>
        <v>-686</v>
      </c>
      <c r="L7" s="218">
        <f t="shared" si="5"/>
        <v>3706</v>
      </c>
      <c r="M7" s="218">
        <f t="shared" si="3"/>
        <v>-119</v>
      </c>
      <c r="N7" s="218">
        <f t="shared" si="3"/>
        <v>-414</v>
      </c>
      <c r="O7" s="218">
        <f t="shared" si="3"/>
        <v>-2428</v>
      </c>
      <c r="P7" s="218">
        <f t="shared" si="6"/>
        <v>179</v>
      </c>
    </row>
    <row r="8" spans="1:42" s="1" customFormat="1" ht="12.5" thickBot="1">
      <c r="A8" s="211" t="s">
        <v>585</v>
      </c>
      <c r="B8" s="211" t="s">
        <v>599</v>
      </c>
      <c r="C8" s="219"/>
      <c r="D8" s="218">
        <f t="shared" si="0"/>
        <v>-9582</v>
      </c>
      <c r="E8" s="218">
        <f t="shared" si="1"/>
        <v>-4783</v>
      </c>
      <c r="F8" s="218">
        <f t="shared" si="1"/>
        <v>-6900</v>
      </c>
      <c r="G8" s="218">
        <f t="shared" si="1"/>
        <v>-5147</v>
      </c>
      <c r="H8" s="218">
        <f t="shared" si="4"/>
        <v>-8061</v>
      </c>
      <c r="I8" s="218">
        <f t="shared" si="2"/>
        <v>-4284</v>
      </c>
      <c r="J8" s="218">
        <f t="shared" si="2"/>
        <v>-3015</v>
      </c>
      <c r="K8" s="218">
        <f t="shared" si="2"/>
        <v>-5404</v>
      </c>
      <c r="L8" s="264">
        <f t="shared" si="5"/>
        <v>-7350</v>
      </c>
      <c r="M8" s="218">
        <f t="shared" si="3"/>
        <v>2698</v>
      </c>
      <c r="N8" s="218">
        <f t="shared" si="3"/>
        <v>-3516</v>
      </c>
      <c r="O8" s="218">
        <f t="shared" si="3"/>
        <v>-366</v>
      </c>
      <c r="P8" s="218">
        <f t="shared" si="6"/>
        <v>-7628</v>
      </c>
    </row>
    <row r="9" spans="1:42" s="1" customFormat="1" ht="12.5" thickBot="1">
      <c r="A9" s="212" t="s">
        <v>249</v>
      </c>
      <c r="B9" s="212" t="s">
        <v>603</v>
      </c>
      <c r="C9" s="220"/>
      <c r="D9" s="221">
        <f t="shared" si="0"/>
        <v>1032056</v>
      </c>
      <c r="E9" s="221">
        <f>E28-D28</f>
        <v>1343776</v>
      </c>
      <c r="F9" s="221">
        <f t="shared" si="1"/>
        <v>-47086</v>
      </c>
      <c r="G9" s="221">
        <f t="shared" si="1"/>
        <v>1483864</v>
      </c>
      <c r="H9" s="221">
        <f t="shared" si="4"/>
        <v>1322147</v>
      </c>
      <c r="I9" s="221">
        <f t="shared" si="2"/>
        <v>1377823</v>
      </c>
      <c r="J9" s="221">
        <f t="shared" si="2"/>
        <v>1392342</v>
      </c>
      <c r="K9" s="221">
        <f t="shared" si="2"/>
        <v>1293608</v>
      </c>
      <c r="L9" s="264">
        <f t="shared" si="5"/>
        <v>1298834</v>
      </c>
      <c r="M9" s="221">
        <f t="shared" si="3"/>
        <v>1223485</v>
      </c>
      <c r="N9" s="221">
        <f t="shared" si="3"/>
        <v>1487011</v>
      </c>
      <c r="O9" s="221">
        <f t="shared" si="3"/>
        <v>1503639</v>
      </c>
      <c r="P9" s="221">
        <f t="shared" si="6"/>
        <v>1368443</v>
      </c>
    </row>
    <row r="10" spans="1:42" s="1" customFormat="1" ht="12.5" thickBot="1">
      <c r="A10" s="211" t="s">
        <v>53</v>
      </c>
      <c r="B10" s="211" t="s">
        <v>604</v>
      </c>
      <c r="C10" s="219"/>
      <c r="D10" s="218">
        <f t="shared" si="0"/>
        <v>-170753</v>
      </c>
      <c r="E10" s="218">
        <f t="shared" si="1"/>
        <v>-179498</v>
      </c>
      <c r="F10" s="218">
        <f t="shared" si="1"/>
        <v>-186222</v>
      </c>
      <c r="G10" s="218">
        <f t="shared" si="1"/>
        <v>-192406</v>
      </c>
      <c r="H10" s="218">
        <f t="shared" si="4"/>
        <v>-196664</v>
      </c>
      <c r="I10" s="218">
        <f t="shared" si="2"/>
        <v>-205690</v>
      </c>
      <c r="J10" s="218">
        <f t="shared" si="2"/>
        <v>-212412</v>
      </c>
      <c r="K10" s="218">
        <f t="shared" si="2"/>
        <v>-214524</v>
      </c>
      <c r="L10" s="264">
        <f t="shared" si="5"/>
        <v>-231083</v>
      </c>
      <c r="M10" s="218">
        <f t="shared" si="3"/>
        <v>-238440</v>
      </c>
      <c r="N10" s="218">
        <f t="shared" si="3"/>
        <v>-244711</v>
      </c>
      <c r="O10" s="218">
        <f t="shared" si="3"/>
        <v>-251065</v>
      </c>
      <c r="P10" s="218">
        <f t="shared" si="6"/>
        <v>-251362</v>
      </c>
    </row>
    <row r="11" spans="1:42" s="1" customFormat="1" ht="12.5" thickBot="1">
      <c r="A11" s="211" t="s">
        <v>586</v>
      </c>
      <c r="B11" s="211" t="s">
        <v>594</v>
      </c>
      <c r="C11" s="219"/>
      <c r="D11" s="218">
        <f t="shared" si="0"/>
        <v>-133543</v>
      </c>
      <c r="E11" s="218">
        <f t="shared" si="1"/>
        <v>-318268</v>
      </c>
      <c r="F11" s="218">
        <f t="shared" si="1"/>
        <v>-132084</v>
      </c>
      <c r="G11" s="218">
        <f t="shared" si="1"/>
        <v>-131331</v>
      </c>
      <c r="H11" s="218">
        <f t="shared" si="4"/>
        <v>-91444</v>
      </c>
      <c r="I11" s="218">
        <f t="shared" si="2"/>
        <v>-112529</v>
      </c>
      <c r="J11" s="218">
        <f t="shared" si="2"/>
        <v>-121806</v>
      </c>
      <c r="K11" s="218">
        <f t="shared" si="2"/>
        <v>-135422</v>
      </c>
      <c r="L11" s="264">
        <f t="shared" si="5"/>
        <v>-132355</v>
      </c>
      <c r="M11" s="218">
        <f t="shared" si="3"/>
        <v>-98927</v>
      </c>
      <c r="N11" s="218">
        <f t="shared" si="3"/>
        <v>-132989</v>
      </c>
      <c r="O11" s="218">
        <f t="shared" si="3"/>
        <v>-140518</v>
      </c>
      <c r="P11" s="218">
        <f t="shared" si="6"/>
        <v>-153750</v>
      </c>
    </row>
    <row r="12" spans="1:42" s="1" customFormat="1" ht="12.5" thickBot="1">
      <c r="A12" s="211" t="s">
        <v>600</v>
      </c>
      <c r="B12" s="211" t="s">
        <v>608</v>
      </c>
      <c r="C12" s="222"/>
      <c r="D12" s="223">
        <f t="shared" si="0"/>
        <v>-36266</v>
      </c>
      <c r="E12" s="223">
        <f t="shared" si="1"/>
        <v>-245102</v>
      </c>
      <c r="F12" s="223">
        <f t="shared" si="1"/>
        <v>-23795</v>
      </c>
      <c r="G12" s="223">
        <f t="shared" si="1"/>
        <v>-418</v>
      </c>
      <c r="H12" s="223">
        <f t="shared" si="4"/>
        <v>0</v>
      </c>
      <c r="I12" s="223">
        <f t="shared" si="2"/>
        <v>0</v>
      </c>
      <c r="J12" s="223">
        <f t="shared" si="2"/>
        <v>0</v>
      </c>
      <c r="K12" s="223">
        <f t="shared" si="2"/>
        <v>0</v>
      </c>
      <c r="L12" s="223">
        <f t="shared" si="5"/>
        <v>0</v>
      </c>
      <c r="M12" s="223">
        <f t="shared" si="3"/>
        <v>0</v>
      </c>
      <c r="N12" s="223">
        <f t="shared" si="3"/>
        <v>0</v>
      </c>
      <c r="O12" s="223">
        <f t="shared" si="3"/>
        <v>0</v>
      </c>
      <c r="P12" s="223">
        <f t="shared" si="6"/>
        <v>-17910</v>
      </c>
    </row>
    <row r="13" spans="1:42" s="1" customFormat="1" ht="12.5" thickBot="1">
      <c r="A13" s="211" t="s">
        <v>587</v>
      </c>
      <c r="B13" s="211" t="s">
        <v>208</v>
      </c>
      <c r="C13" s="219"/>
      <c r="D13" s="218">
        <f t="shared" si="0"/>
        <v>-43478</v>
      </c>
      <c r="E13" s="218">
        <f t="shared" si="1"/>
        <v>-44402</v>
      </c>
      <c r="F13" s="218">
        <f t="shared" si="1"/>
        <v>-44363</v>
      </c>
      <c r="G13" s="218">
        <f t="shared" si="1"/>
        <v>-44490</v>
      </c>
      <c r="H13" s="218">
        <f t="shared" si="4"/>
        <v>-45366</v>
      </c>
      <c r="I13" s="218">
        <f t="shared" si="2"/>
        <v>-45499</v>
      </c>
      <c r="J13" s="218">
        <f t="shared" si="2"/>
        <v>-45687</v>
      </c>
      <c r="K13" s="218">
        <f t="shared" si="2"/>
        <v>-45258</v>
      </c>
      <c r="L13" s="264">
        <f t="shared" si="5"/>
        <v>-46638</v>
      </c>
      <c r="M13" s="218">
        <f t="shared" si="3"/>
        <v>-47595</v>
      </c>
      <c r="N13" s="218">
        <f t="shared" si="3"/>
        <v>-49612</v>
      </c>
      <c r="O13" s="218">
        <f t="shared" si="3"/>
        <v>-51072</v>
      </c>
      <c r="P13" s="218">
        <f t="shared" si="6"/>
        <v>-48233</v>
      </c>
    </row>
    <row r="14" spans="1:42" s="1" customFormat="1" ht="12.5" thickBot="1">
      <c r="A14" s="212" t="s">
        <v>588</v>
      </c>
      <c r="B14" s="212" t="s">
        <v>605</v>
      </c>
      <c r="C14" s="224"/>
      <c r="D14" s="221">
        <f t="shared" si="0"/>
        <v>-347774</v>
      </c>
      <c r="E14" s="221">
        <f t="shared" si="1"/>
        <v>-542168</v>
      </c>
      <c r="F14" s="221">
        <f t="shared" si="1"/>
        <v>-362669</v>
      </c>
      <c r="G14" s="221">
        <f t="shared" si="1"/>
        <v>-368227</v>
      </c>
      <c r="H14" s="221">
        <f t="shared" si="4"/>
        <v>-333474</v>
      </c>
      <c r="I14" s="221">
        <f t="shared" si="2"/>
        <v>-363718</v>
      </c>
      <c r="J14" s="221">
        <f t="shared" si="2"/>
        <v>-379905</v>
      </c>
      <c r="K14" s="221">
        <f t="shared" si="2"/>
        <v>-395204</v>
      </c>
      <c r="L14" s="264">
        <f t="shared" si="5"/>
        <v>-410076</v>
      </c>
      <c r="M14" s="221">
        <f t="shared" si="3"/>
        <v>-384962</v>
      </c>
      <c r="N14" s="221">
        <f t="shared" si="3"/>
        <v>-427312</v>
      </c>
      <c r="O14" s="221">
        <f t="shared" si="3"/>
        <v>-442655</v>
      </c>
      <c r="P14" s="221">
        <f t="shared" si="6"/>
        <v>-453345</v>
      </c>
    </row>
    <row r="15" spans="1:42" s="1" customFormat="1" ht="12.5" thickBot="1">
      <c r="A15" s="211" t="s">
        <v>589</v>
      </c>
      <c r="B15" s="211" t="s">
        <v>595</v>
      </c>
      <c r="C15" s="219"/>
      <c r="D15" s="218">
        <f t="shared" si="0"/>
        <v>-71308</v>
      </c>
      <c r="E15" s="218">
        <f t="shared" si="1"/>
        <v>-74995</v>
      </c>
      <c r="F15" s="218">
        <f t="shared" si="1"/>
        <v>-135933</v>
      </c>
      <c r="G15" s="218">
        <f t="shared" si="1"/>
        <v>-92402</v>
      </c>
      <c r="H15" s="218">
        <f t="shared" si="4"/>
        <v>-128290</v>
      </c>
      <c r="I15" s="218">
        <f t="shared" si="2"/>
        <v>-41302</v>
      </c>
      <c r="J15" s="218">
        <f t="shared" si="2"/>
        <v>-56358</v>
      </c>
      <c r="K15" s="218">
        <f t="shared" si="2"/>
        <v>-54545</v>
      </c>
      <c r="L15" s="264">
        <f t="shared" si="5"/>
        <v>-99866</v>
      </c>
      <c r="M15" s="218">
        <f t="shared" si="3"/>
        <v>-31526</v>
      </c>
      <c r="N15" s="218">
        <f t="shared" si="3"/>
        <v>-70940</v>
      </c>
      <c r="O15" s="218">
        <f t="shared" si="3"/>
        <v>-27672</v>
      </c>
      <c r="P15" s="218">
        <f t="shared" si="6"/>
        <v>-59147</v>
      </c>
    </row>
    <row r="16" spans="1:42" s="1" customFormat="1" ht="12.5" thickBot="1">
      <c r="A16" s="211" t="s">
        <v>590</v>
      </c>
      <c r="B16" s="211" t="s">
        <v>210</v>
      </c>
      <c r="C16" s="219"/>
      <c r="D16" s="218">
        <f t="shared" si="0"/>
        <v>-4037</v>
      </c>
      <c r="E16" s="218">
        <f t="shared" si="1"/>
        <v>-5193</v>
      </c>
      <c r="F16" s="218">
        <f t="shared" si="1"/>
        <v>-6701</v>
      </c>
      <c r="G16" s="218">
        <f t="shared" si="1"/>
        <v>-8222</v>
      </c>
      <c r="H16" s="218">
        <f t="shared" si="4"/>
        <v>-8492</v>
      </c>
      <c r="I16" s="218">
        <f t="shared" si="2"/>
        <v>-7562</v>
      </c>
      <c r="J16" s="218">
        <f t="shared" si="2"/>
        <v>-8287</v>
      </c>
      <c r="K16" s="218">
        <f t="shared" si="2"/>
        <v>-8540</v>
      </c>
      <c r="L16" s="264">
        <f t="shared" si="5"/>
        <v>-9533</v>
      </c>
      <c r="M16" s="218">
        <f t="shared" si="3"/>
        <v>-8427</v>
      </c>
      <c r="N16" s="218">
        <f t="shared" si="3"/>
        <v>-7614</v>
      </c>
      <c r="O16" s="218">
        <f t="shared" si="3"/>
        <v>-7547</v>
      </c>
      <c r="P16" s="218">
        <f t="shared" si="6"/>
        <v>-7144</v>
      </c>
    </row>
    <row r="17" spans="1:42" s="1" customFormat="1" ht="24.5" thickBot="1">
      <c r="A17" s="211" t="s">
        <v>601</v>
      </c>
      <c r="B17" s="211" t="s">
        <v>596</v>
      </c>
      <c r="C17" s="218"/>
      <c r="D17" s="218">
        <f t="shared" si="0"/>
        <v>0</v>
      </c>
      <c r="E17" s="218">
        <f t="shared" si="1"/>
        <v>0</v>
      </c>
      <c r="F17" s="218">
        <f t="shared" si="1"/>
        <v>0</v>
      </c>
      <c r="G17" s="218">
        <f t="shared" si="1"/>
        <v>0</v>
      </c>
      <c r="H17" s="218">
        <f t="shared" si="4"/>
        <v>0</v>
      </c>
      <c r="I17" s="218">
        <f t="shared" si="2"/>
        <v>0</v>
      </c>
      <c r="J17" s="218">
        <f t="shared" si="2"/>
        <v>0</v>
      </c>
      <c r="K17" s="218">
        <f t="shared" si="2"/>
        <v>0</v>
      </c>
      <c r="L17" s="218">
        <f t="shared" si="5"/>
        <v>0</v>
      </c>
      <c r="M17" s="218">
        <f t="shared" si="3"/>
        <v>0</v>
      </c>
      <c r="N17" s="218">
        <f t="shared" si="3"/>
        <v>0</v>
      </c>
      <c r="O17" s="218">
        <f t="shared" si="3"/>
        <v>0</v>
      </c>
      <c r="P17" s="218">
        <f t="shared" si="6"/>
        <v>0</v>
      </c>
    </row>
    <row r="18" spans="1:42" s="1" customFormat="1" ht="12.5" thickBot="1">
      <c r="A18" s="213" t="s">
        <v>591</v>
      </c>
      <c r="B18" s="213" t="s">
        <v>597</v>
      </c>
      <c r="C18" s="225"/>
      <c r="D18" s="226">
        <f t="shared" si="0"/>
        <v>608937</v>
      </c>
      <c r="E18" s="226">
        <f t="shared" si="1"/>
        <v>721420</v>
      </c>
      <c r="F18" s="226">
        <f t="shared" si="1"/>
        <v>-552389</v>
      </c>
      <c r="G18" s="226">
        <f t="shared" si="1"/>
        <v>1015013</v>
      </c>
      <c r="H18" s="226">
        <f t="shared" si="4"/>
        <v>851891</v>
      </c>
      <c r="I18" s="226">
        <f t="shared" si="2"/>
        <v>965241</v>
      </c>
      <c r="J18" s="226">
        <f t="shared" si="2"/>
        <v>947792</v>
      </c>
      <c r="K18" s="226">
        <f t="shared" si="2"/>
        <v>835319</v>
      </c>
      <c r="L18" s="265">
        <f t="shared" si="5"/>
        <v>779359</v>
      </c>
      <c r="M18" s="226">
        <f t="shared" si="3"/>
        <v>798570</v>
      </c>
      <c r="N18" s="226">
        <f t="shared" si="3"/>
        <v>981145</v>
      </c>
      <c r="O18" s="226">
        <f t="shared" si="3"/>
        <v>1025765</v>
      </c>
      <c r="P18" s="226">
        <f t="shared" si="6"/>
        <v>848807</v>
      </c>
    </row>
    <row r="20" spans="1:42" s="1" customFormat="1" ht="15.5">
      <c r="A20" s="39" t="s">
        <v>609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K20" s="15"/>
      <c r="AL20" s="15"/>
      <c r="AM20" s="15"/>
      <c r="AN20" s="15"/>
      <c r="AO20" s="15"/>
      <c r="AP20" s="15"/>
    </row>
    <row r="21" spans="1:42" s="1" customFormat="1" ht="37.5" customHeight="1">
      <c r="A21" s="39" t="s">
        <v>610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54"/>
      <c r="AK21" s="15"/>
      <c r="AL21" s="15"/>
      <c r="AM21" s="15"/>
      <c r="AN21" s="15"/>
      <c r="AO21" s="15"/>
      <c r="AP21" s="14"/>
    </row>
    <row r="22" spans="1:42" ht="30" customHeight="1">
      <c r="A22" s="98" t="s">
        <v>395</v>
      </c>
      <c r="B22" s="98" t="s">
        <v>99</v>
      </c>
      <c r="C22" s="115" t="s">
        <v>511</v>
      </c>
      <c r="D22" s="115" t="s">
        <v>515</v>
      </c>
      <c r="E22" s="115" t="s">
        <v>522</v>
      </c>
      <c r="F22" s="115" t="s">
        <v>528</v>
      </c>
      <c r="G22" s="115" t="s">
        <v>532</v>
      </c>
      <c r="H22" s="115" t="s">
        <v>547</v>
      </c>
      <c r="I22" s="115" t="s">
        <v>647</v>
      </c>
      <c r="J22" s="115" t="s">
        <v>651</v>
      </c>
      <c r="K22" s="115" t="s">
        <v>662</v>
      </c>
      <c r="L22" s="115" t="s">
        <v>666</v>
      </c>
      <c r="M22" s="115" t="s">
        <v>673</v>
      </c>
      <c r="N22" s="115" t="s">
        <v>681</v>
      </c>
      <c r="O22" s="115" t="s">
        <v>686</v>
      </c>
      <c r="P22" s="115" t="s">
        <v>690</v>
      </c>
      <c r="T22" s="1"/>
      <c r="U22" s="1"/>
      <c r="V22" s="1"/>
      <c r="W22" s="1"/>
      <c r="X22" s="1"/>
    </row>
    <row r="23" spans="1:42" s="1" customFormat="1" ht="12.5" thickBot="1">
      <c r="A23" s="211" t="s">
        <v>582</v>
      </c>
      <c r="B23" s="211" t="s">
        <v>592</v>
      </c>
      <c r="C23" s="218">
        <v>1847076</v>
      </c>
      <c r="D23" s="218">
        <v>837721</v>
      </c>
      <c r="E23" s="218">
        <v>1978647</v>
      </c>
      <c r="F23" s="218">
        <v>1783643</v>
      </c>
      <c r="G23" s="218">
        <v>3088577</v>
      </c>
      <c r="H23" s="218">
        <v>1149846</v>
      </c>
      <c r="I23" s="218">
        <v>2343439</v>
      </c>
      <c r="J23" s="218">
        <v>3560765</v>
      </c>
      <c r="K23" s="218">
        <v>4684190</v>
      </c>
      <c r="L23" s="264">
        <v>1133335</v>
      </c>
      <c r="M23" s="218">
        <v>2162762</v>
      </c>
      <c r="N23" s="218">
        <v>3468436</v>
      </c>
      <c r="O23" s="218">
        <v>4789715</v>
      </c>
      <c r="P23" s="218">
        <v>1220504</v>
      </c>
      <c r="Q23" s="14"/>
      <c r="R23" s="15"/>
      <c r="T23" s="14"/>
      <c r="U23" s="15"/>
      <c r="V23" s="15"/>
      <c r="W23" s="15"/>
      <c r="X23" s="15"/>
      <c r="Y23" s="15"/>
      <c r="Z23" s="15"/>
      <c r="AA23" s="14"/>
      <c r="AB23" s="15"/>
    </row>
    <row r="24" spans="1:42" s="1" customFormat="1" ht="12.5" thickBot="1">
      <c r="A24" s="211" t="s">
        <v>1</v>
      </c>
      <c r="B24" s="211" t="s">
        <v>593</v>
      </c>
      <c r="C24" s="218">
        <v>639993</v>
      </c>
      <c r="D24" s="218">
        <v>169395</v>
      </c>
      <c r="E24" s="218">
        <v>333681</v>
      </c>
      <c r="F24" s="218">
        <v>444688</v>
      </c>
      <c r="G24" s="218">
        <v>597222</v>
      </c>
      <c r="H24" s="218">
        <v>150157</v>
      </c>
      <c r="I24" s="218">
        <v>304883</v>
      </c>
      <c r="J24" s="218">
        <v>446410</v>
      </c>
      <c r="K24" s="218">
        <v>590751</v>
      </c>
      <c r="L24" s="264">
        <v>144484</v>
      </c>
      <c r="M24" s="218">
        <v>297409</v>
      </c>
      <c r="N24" s="218">
        <v>451524</v>
      </c>
      <c r="O24" s="218">
        <v>595949</v>
      </c>
      <c r="P24" s="218">
        <v>129765</v>
      </c>
      <c r="Q24" s="14"/>
      <c r="R24" s="15"/>
      <c r="T24" s="14"/>
      <c r="U24" s="15"/>
      <c r="V24" s="15"/>
      <c r="W24" s="15"/>
      <c r="X24" s="15"/>
      <c r="Y24" s="15"/>
      <c r="Z24" s="15"/>
      <c r="AA24" s="14"/>
      <c r="AB24" s="15"/>
    </row>
    <row r="25" spans="1:42" s="1" customFormat="1" ht="24.5" thickBot="1">
      <c r="A25" s="211" t="s">
        <v>583</v>
      </c>
      <c r="B25" s="211" t="s">
        <v>598</v>
      </c>
      <c r="C25" s="218">
        <v>111344</v>
      </c>
      <c r="D25" s="218">
        <v>32441</v>
      </c>
      <c r="E25" s="218">
        <v>72298</v>
      </c>
      <c r="F25" s="218">
        <v>108051</v>
      </c>
      <c r="G25" s="218">
        <v>140720</v>
      </c>
      <c r="H25" s="218">
        <v>32876</v>
      </c>
      <c r="I25" s="218">
        <v>66235</v>
      </c>
      <c r="J25" s="218">
        <v>100769</v>
      </c>
      <c r="K25" s="218">
        <v>132701</v>
      </c>
      <c r="L25" s="264">
        <v>24659</v>
      </c>
      <c r="M25" s="218">
        <v>63213</v>
      </c>
      <c r="N25" s="218">
        <v>94365</v>
      </c>
      <c r="O25" s="218">
        <v>135094</v>
      </c>
      <c r="P25" s="218">
        <v>25623</v>
      </c>
      <c r="Q25" s="14"/>
      <c r="R25" s="15"/>
      <c r="T25" s="14"/>
      <c r="U25" s="15"/>
      <c r="V25" s="15"/>
      <c r="W25" s="15"/>
      <c r="X25" s="15"/>
      <c r="Y25" s="15"/>
      <c r="Z25" s="15"/>
      <c r="AA25" s="14"/>
      <c r="AB25" s="15"/>
    </row>
    <row r="26" spans="1:42" s="1" customFormat="1" ht="36.5" thickBot="1">
      <c r="A26" s="211" t="s">
        <v>584</v>
      </c>
      <c r="B26" s="211" t="s">
        <v>602</v>
      </c>
      <c r="C26" s="218">
        <v>39881</v>
      </c>
      <c r="D26" s="218">
        <v>2081</v>
      </c>
      <c r="E26" s="218">
        <v>5571</v>
      </c>
      <c r="F26" s="218">
        <v>13629</v>
      </c>
      <c r="G26" s="218">
        <v>12503</v>
      </c>
      <c r="H26" s="218">
        <v>-2671</v>
      </c>
      <c r="I26" s="218">
        <v>-2242</v>
      </c>
      <c r="J26" s="218">
        <v>-272</v>
      </c>
      <c r="K26" s="218">
        <v>-958</v>
      </c>
      <c r="L26" s="218">
        <v>3706</v>
      </c>
      <c r="M26" s="218">
        <v>3587</v>
      </c>
      <c r="N26" s="218">
        <v>3173</v>
      </c>
      <c r="O26" s="218">
        <v>745</v>
      </c>
      <c r="P26" s="218">
        <v>179</v>
      </c>
      <c r="Q26" s="14"/>
      <c r="R26" s="15"/>
      <c r="T26" s="14"/>
      <c r="W26" s="15"/>
      <c r="X26" s="15"/>
      <c r="Z26" s="15"/>
      <c r="AA26" s="14"/>
      <c r="AB26" s="15"/>
    </row>
    <row r="27" spans="1:42" s="1" customFormat="1" ht="12.5" thickBot="1">
      <c r="A27" s="211" t="s">
        <v>585</v>
      </c>
      <c r="B27" s="211" t="s">
        <v>599</v>
      </c>
      <c r="C27" s="218">
        <v>-19673</v>
      </c>
      <c r="D27" s="218">
        <v>-9582</v>
      </c>
      <c r="E27" s="218">
        <v>-14365</v>
      </c>
      <c r="F27" s="218">
        <v>-21265</v>
      </c>
      <c r="G27" s="218">
        <v>-26412</v>
      </c>
      <c r="H27" s="218">
        <v>-8061</v>
      </c>
      <c r="I27" s="218">
        <v>-12345</v>
      </c>
      <c r="J27" s="218">
        <v>-15360</v>
      </c>
      <c r="K27" s="218">
        <v>-20764</v>
      </c>
      <c r="L27" s="264">
        <v>-7350</v>
      </c>
      <c r="M27" s="218">
        <v>-4652</v>
      </c>
      <c r="N27" s="218">
        <v>-8168</v>
      </c>
      <c r="O27" s="218">
        <v>-8534</v>
      </c>
      <c r="P27" s="218">
        <v>-7628</v>
      </c>
      <c r="Q27" s="14"/>
      <c r="R27" s="15"/>
      <c r="T27" s="14"/>
      <c r="U27" s="15"/>
      <c r="V27" s="15"/>
      <c r="W27" s="15"/>
      <c r="X27" s="15"/>
      <c r="Y27" s="15"/>
      <c r="Z27" s="15"/>
      <c r="AA27" s="14"/>
      <c r="AB27" s="15"/>
    </row>
    <row r="28" spans="1:42" s="1" customFormat="1" ht="12.5" thickBot="1">
      <c r="A28" s="212" t="s">
        <v>249</v>
      </c>
      <c r="B28" s="212" t="s">
        <v>603</v>
      </c>
      <c r="C28" s="221">
        <v>2618621</v>
      </c>
      <c r="D28" s="221">
        <v>1032056</v>
      </c>
      <c r="E28" s="221">
        <v>2375832</v>
      </c>
      <c r="F28" s="221">
        <v>2328746</v>
      </c>
      <c r="G28" s="221">
        <v>3812610</v>
      </c>
      <c r="H28" s="221">
        <v>1322147</v>
      </c>
      <c r="I28" s="221">
        <v>2699970</v>
      </c>
      <c r="J28" s="221">
        <v>4092312</v>
      </c>
      <c r="K28" s="221">
        <f t="shared" ref="K28:P28" si="7">+K23+K24+K25+K26+K27</f>
        <v>5385920</v>
      </c>
      <c r="L28" s="264">
        <f t="shared" si="7"/>
        <v>1298834</v>
      </c>
      <c r="M28" s="221">
        <f t="shared" si="7"/>
        <v>2522319</v>
      </c>
      <c r="N28" s="221">
        <f t="shared" si="7"/>
        <v>4009330</v>
      </c>
      <c r="O28" s="221">
        <f t="shared" si="7"/>
        <v>5512969</v>
      </c>
      <c r="P28" s="221">
        <f t="shared" si="7"/>
        <v>1368443</v>
      </c>
      <c r="Q28" s="14"/>
      <c r="R28" s="15"/>
      <c r="T28" s="14"/>
      <c r="U28" s="15"/>
      <c r="V28" s="15"/>
      <c r="W28" s="15"/>
      <c r="X28" s="15"/>
      <c r="Y28" s="15"/>
      <c r="Z28" s="15"/>
      <c r="AA28" s="14"/>
      <c r="AB28" s="15"/>
    </row>
    <row r="29" spans="1:42" s="1" customFormat="1" ht="12.5" thickBot="1">
      <c r="A29" s="211" t="s">
        <v>53</v>
      </c>
      <c r="B29" s="211" t="s">
        <v>604</v>
      </c>
      <c r="C29" s="218">
        <v>-645620</v>
      </c>
      <c r="D29" s="218">
        <v>-170753</v>
      </c>
      <c r="E29" s="218">
        <v>-350251</v>
      </c>
      <c r="F29" s="218">
        <v>-536473</v>
      </c>
      <c r="G29" s="218">
        <v>-728879</v>
      </c>
      <c r="H29" s="218">
        <v>-196664</v>
      </c>
      <c r="I29" s="218">
        <v>-402354</v>
      </c>
      <c r="J29" s="218">
        <v>-614766</v>
      </c>
      <c r="K29" s="218">
        <v>-829290</v>
      </c>
      <c r="L29" s="264">
        <v>-231083</v>
      </c>
      <c r="M29" s="218">
        <v>-469523</v>
      </c>
      <c r="N29" s="218">
        <v>-714234</v>
      </c>
      <c r="O29" s="218">
        <v>-965299</v>
      </c>
      <c r="P29" s="218">
        <v>-251362</v>
      </c>
      <c r="Q29" s="14"/>
      <c r="R29" s="15"/>
      <c r="T29" s="14"/>
      <c r="U29" s="15"/>
      <c r="V29" s="15"/>
      <c r="W29" s="15"/>
      <c r="X29" s="15"/>
      <c r="Z29" s="15"/>
      <c r="AA29" s="14"/>
      <c r="AB29" s="15"/>
    </row>
    <row r="30" spans="1:42" s="1" customFormat="1" ht="12.5" thickBot="1">
      <c r="A30" s="211" t="s">
        <v>586</v>
      </c>
      <c r="B30" s="211" t="s">
        <v>594</v>
      </c>
      <c r="C30" s="218">
        <v>-429410</v>
      </c>
      <c r="D30" s="218">
        <v>-133543</v>
      </c>
      <c r="E30" s="218">
        <v>-451811</v>
      </c>
      <c r="F30" s="218">
        <v>-583895</v>
      </c>
      <c r="G30" s="218">
        <v>-715226</v>
      </c>
      <c r="H30" s="218">
        <v>-91444</v>
      </c>
      <c r="I30" s="218">
        <v>-203973</v>
      </c>
      <c r="J30" s="218">
        <v>-325779</v>
      </c>
      <c r="K30" s="218">
        <v>-461201</v>
      </c>
      <c r="L30" s="264">
        <v>-132355</v>
      </c>
      <c r="M30" s="218">
        <v>-231282</v>
      </c>
      <c r="N30" s="218">
        <v>-364271</v>
      </c>
      <c r="O30" s="218">
        <v>-504789</v>
      </c>
      <c r="P30" s="218">
        <v>-153750</v>
      </c>
      <c r="Q30" s="14"/>
      <c r="R30" s="15"/>
      <c r="T30" s="14"/>
      <c r="U30" s="15"/>
      <c r="V30" s="15"/>
      <c r="W30" s="15"/>
      <c r="X30" s="15"/>
      <c r="Y30" s="15"/>
      <c r="Z30" s="15"/>
      <c r="AA30" s="14"/>
      <c r="AB30" s="15"/>
    </row>
    <row r="31" spans="1:42" s="1" customFormat="1" ht="12.5" thickBot="1">
      <c r="A31" s="211" t="s">
        <v>600</v>
      </c>
      <c r="B31" s="211" t="s">
        <v>608</v>
      </c>
      <c r="C31" s="223">
        <v>-67667</v>
      </c>
      <c r="D31" s="223">
        <v>-36266</v>
      </c>
      <c r="E31" s="223">
        <v>-281368</v>
      </c>
      <c r="F31" s="223">
        <v>-305163</v>
      </c>
      <c r="G31" s="223">
        <v>-305581</v>
      </c>
      <c r="H31" s="223">
        <v>0</v>
      </c>
      <c r="I31" s="223">
        <v>0</v>
      </c>
      <c r="J31" s="223">
        <v>0</v>
      </c>
      <c r="K31" s="223">
        <v>0</v>
      </c>
      <c r="L31" s="223">
        <v>0</v>
      </c>
      <c r="M31" s="223">
        <v>0</v>
      </c>
      <c r="N31" s="223">
        <v>0</v>
      </c>
      <c r="O31" s="223">
        <v>0</v>
      </c>
      <c r="P31" s="223">
        <v>-17910</v>
      </c>
      <c r="Q31" s="14"/>
      <c r="R31" s="15"/>
      <c r="T31" s="14"/>
      <c r="U31" s="15"/>
      <c r="W31" s="15"/>
      <c r="X31" s="15"/>
      <c r="Z31" s="15"/>
      <c r="AA31" s="14"/>
      <c r="AB31" s="15"/>
    </row>
    <row r="32" spans="1:42" s="1" customFormat="1" ht="12.5" thickBot="1">
      <c r="A32" s="211" t="s">
        <v>587</v>
      </c>
      <c r="B32" s="211" t="s">
        <v>208</v>
      </c>
      <c r="C32" s="218">
        <v>-171352</v>
      </c>
      <c r="D32" s="218">
        <v>-43478</v>
      </c>
      <c r="E32" s="218">
        <v>-87880</v>
      </c>
      <c r="F32" s="218">
        <v>-132243</v>
      </c>
      <c r="G32" s="218">
        <v>-176733</v>
      </c>
      <c r="H32" s="218">
        <v>-45366</v>
      </c>
      <c r="I32" s="218">
        <v>-90865</v>
      </c>
      <c r="J32" s="218">
        <v>-136552</v>
      </c>
      <c r="K32" s="218">
        <v>-181810</v>
      </c>
      <c r="L32" s="264">
        <v>-46638</v>
      </c>
      <c r="M32" s="218">
        <v>-94233</v>
      </c>
      <c r="N32" s="218">
        <v>-143845</v>
      </c>
      <c r="O32" s="218">
        <v>-194917</v>
      </c>
      <c r="P32" s="218">
        <v>-48233</v>
      </c>
      <c r="Q32" s="14"/>
      <c r="R32" s="15"/>
      <c r="T32" s="14"/>
      <c r="U32" s="15"/>
      <c r="V32" s="15"/>
      <c r="W32" s="15"/>
      <c r="X32" s="15"/>
      <c r="Z32" s="15"/>
      <c r="AA32" s="14"/>
      <c r="AB32" s="15"/>
    </row>
    <row r="33" spans="1:28" s="1" customFormat="1" ht="12.5" thickBot="1">
      <c r="A33" s="212" t="s">
        <v>588</v>
      </c>
      <c r="B33" s="212" t="s">
        <v>605</v>
      </c>
      <c r="C33" s="221">
        <v>-1246382</v>
      </c>
      <c r="D33" s="221">
        <v>-347774</v>
      </c>
      <c r="E33" s="221">
        <v>-889942</v>
      </c>
      <c r="F33" s="221">
        <v>-1252611</v>
      </c>
      <c r="G33" s="221">
        <v>-1620838</v>
      </c>
      <c r="H33" s="221">
        <v>-333474</v>
      </c>
      <c r="I33" s="221">
        <v>-697192</v>
      </c>
      <c r="J33" s="221">
        <v>-1077097</v>
      </c>
      <c r="K33" s="221">
        <f t="shared" ref="K33:P33" si="8">+K32+K30+K29</f>
        <v>-1472301</v>
      </c>
      <c r="L33" s="264">
        <f t="shared" si="8"/>
        <v>-410076</v>
      </c>
      <c r="M33" s="221">
        <f t="shared" si="8"/>
        <v>-795038</v>
      </c>
      <c r="N33" s="221">
        <f t="shared" si="8"/>
        <v>-1222350</v>
      </c>
      <c r="O33" s="221">
        <f t="shared" si="8"/>
        <v>-1665005</v>
      </c>
      <c r="P33" s="221">
        <f t="shared" si="8"/>
        <v>-453345</v>
      </c>
      <c r="Q33" s="14"/>
      <c r="R33" s="15"/>
      <c r="T33" s="14"/>
      <c r="U33" s="15"/>
      <c r="V33" s="15"/>
      <c r="W33" s="15"/>
      <c r="X33" s="15"/>
      <c r="Y33" s="15"/>
      <c r="Z33" s="15"/>
      <c r="AA33" s="14"/>
      <c r="AB33" s="15"/>
    </row>
    <row r="34" spans="1:28" s="1" customFormat="1" ht="12.5" thickBot="1">
      <c r="A34" s="211" t="s">
        <v>589</v>
      </c>
      <c r="B34" s="211" t="s">
        <v>595</v>
      </c>
      <c r="C34" s="218">
        <v>-324446</v>
      </c>
      <c r="D34" s="218">
        <v>-71308</v>
      </c>
      <c r="E34" s="218">
        <v>-146303</v>
      </c>
      <c r="F34" s="218">
        <v>-282236</v>
      </c>
      <c r="G34" s="218">
        <v>-374638</v>
      </c>
      <c r="H34" s="218">
        <v>-128290</v>
      </c>
      <c r="I34" s="218">
        <v>-169592</v>
      </c>
      <c r="J34" s="218">
        <v>-225950</v>
      </c>
      <c r="K34" s="218">
        <v>-280495</v>
      </c>
      <c r="L34" s="264">
        <v>-99866</v>
      </c>
      <c r="M34" s="218">
        <v>-131392</v>
      </c>
      <c r="N34" s="218">
        <v>-202332</v>
      </c>
      <c r="O34" s="218">
        <v>-230004</v>
      </c>
      <c r="P34" s="218">
        <v>-59147</v>
      </c>
      <c r="Q34" s="14"/>
      <c r="R34" s="15"/>
      <c r="T34" s="14"/>
      <c r="U34" s="15"/>
      <c r="V34" s="15"/>
      <c r="W34" s="15"/>
      <c r="X34" s="15"/>
      <c r="Y34" s="15"/>
      <c r="Z34" s="15"/>
      <c r="AA34" s="14"/>
      <c r="AB34" s="15"/>
    </row>
    <row r="35" spans="1:28" s="1" customFormat="1" ht="12.5" thickBot="1">
      <c r="A35" s="211" t="s">
        <v>590</v>
      </c>
      <c r="B35" s="211" t="s">
        <v>210</v>
      </c>
      <c r="C35" s="218">
        <v>-13390</v>
      </c>
      <c r="D35" s="218">
        <v>-4037</v>
      </c>
      <c r="E35" s="218">
        <v>-9230</v>
      </c>
      <c r="F35" s="218">
        <v>-15931</v>
      </c>
      <c r="G35" s="218">
        <v>-24153</v>
      </c>
      <c r="H35" s="218">
        <v>-8492</v>
      </c>
      <c r="I35" s="218">
        <v>-16054</v>
      </c>
      <c r="J35" s="218">
        <v>-24341</v>
      </c>
      <c r="K35" s="218">
        <v>-32881</v>
      </c>
      <c r="L35" s="264">
        <v>-9533</v>
      </c>
      <c r="M35" s="218">
        <v>-17960</v>
      </c>
      <c r="N35" s="218">
        <v>-25574</v>
      </c>
      <c r="O35" s="218">
        <v>-33121</v>
      </c>
      <c r="P35" s="218">
        <v>-7144</v>
      </c>
      <c r="Q35" s="14"/>
      <c r="R35" s="15"/>
      <c r="T35" s="14"/>
      <c r="U35" s="15"/>
      <c r="V35" s="15"/>
      <c r="X35" s="15"/>
      <c r="Y35" s="15"/>
      <c r="Z35" s="15"/>
      <c r="AA35" s="14"/>
      <c r="AB35" s="15"/>
    </row>
    <row r="36" spans="1:28" s="1" customFormat="1" ht="24.5" thickBot="1">
      <c r="A36" s="211" t="s">
        <v>601</v>
      </c>
      <c r="B36" s="211" t="s">
        <v>596</v>
      </c>
      <c r="C36" s="218">
        <v>0</v>
      </c>
      <c r="D36" s="218">
        <v>0</v>
      </c>
      <c r="E36" s="218">
        <v>0</v>
      </c>
      <c r="F36" s="218">
        <v>0</v>
      </c>
      <c r="G36" s="218">
        <v>0</v>
      </c>
      <c r="H36" s="218">
        <v>0</v>
      </c>
      <c r="I36" s="218">
        <v>0</v>
      </c>
      <c r="J36" s="218">
        <v>0</v>
      </c>
      <c r="K36" s="218">
        <v>0</v>
      </c>
      <c r="L36" s="218">
        <v>0</v>
      </c>
      <c r="M36" s="218">
        <v>0</v>
      </c>
      <c r="N36" s="218">
        <v>0</v>
      </c>
      <c r="O36" s="218">
        <v>0</v>
      </c>
      <c r="P36" s="218">
        <v>0</v>
      </c>
      <c r="Q36" s="14"/>
      <c r="R36" s="15"/>
      <c r="T36" s="14"/>
      <c r="X36" s="15"/>
      <c r="Y36" s="15"/>
      <c r="Z36" s="15"/>
      <c r="AA36" s="14"/>
      <c r="AB36" s="15"/>
    </row>
    <row r="37" spans="1:28" s="1" customFormat="1" ht="12.5" thickBot="1">
      <c r="A37" s="213" t="s">
        <v>591</v>
      </c>
      <c r="B37" s="213" t="s">
        <v>597</v>
      </c>
      <c r="C37" s="226">
        <v>1034403</v>
      </c>
      <c r="D37" s="226">
        <v>608937</v>
      </c>
      <c r="E37" s="226">
        <v>1330357</v>
      </c>
      <c r="F37" s="226">
        <v>777968</v>
      </c>
      <c r="G37" s="226">
        <v>1792981</v>
      </c>
      <c r="H37" s="226">
        <v>851891</v>
      </c>
      <c r="I37" s="226">
        <v>1817132</v>
      </c>
      <c r="J37" s="226">
        <v>2764924</v>
      </c>
      <c r="K37" s="226">
        <f t="shared" ref="K37:P37" si="9">+K28+K33+K34+K35+K36</f>
        <v>3600243</v>
      </c>
      <c r="L37" s="265">
        <f t="shared" si="9"/>
        <v>779359</v>
      </c>
      <c r="M37" s="226">
        <f t="shared" si="9"/>
        <v>1577929</v>
      </c>
      <c r="N37" s="226">
        <f t="shared" si="9"/>
        <v>2559074</v>
      </c>
      <c r="O37" s="226">
        <f t="shared" si="9"/>
        <v>3584839</v>
      </c>
      <c r="P37" s="226">
        <f t="shared" si="9"/>
        <v>848807</v>
      </c>
      <c r="Q37" s="14"/>
      <c r="R37" s="15"/>
      <c r="T37" s="14"/>
      <c r="U37" s="254"/>
      <c r="V37" s="255"/>
      <c r="W37" s="254"/>
      <c r="X37" s="15"/>
      <c r="Y37" s="15"/>
      <c r="Z37" s="15"/>
      <c r="AA37" s="14"/>
      <c r="AB37" s="15"/>
    </row>
    <row r="38" spans="1:28">
      <c r="Q38" s="241"/>
      <c r="R38" s="242"/>
      <c r="S38" s="242"/>
    </row>
    <row r="39" spans="1:28">
      <c r="K39" s="69"/>
      <c r="L39" s="69"/>
      <c r="M39" s="69"/>
      <c r="N39" s="69"/>
      <c r="O39" s="69"/>
      <c r="P39" s="69"/>
      <c r="Q39" s="241"/>
      <c r="R39" s="242"/>
      <c r="S39" s="242"/>
      <c r="T39" s="14"/>
      <c r="U39" s="243"/>
      <c r="V39" s="242"/>
      <c r="W39" s="243"/>
      <c r="Z39" s="124"/>
    </row>
    <row r="40" spans="1:28">
      <c r="Q40" s="244"/>
      <c r="R40" s="245"/>
      <c r="S40" s="245"/>
      <c r="T40" s="14"/>
      <c r="U40" s="245"/>
      <c r="V40" s="245"/>
      <c r="W40" s="246"/>
      <c r="Z40" s="124"/>
    </row>
    <row r="41" spans="1:28">
      <c r="Q41" s="241"/>
      <c r="R41" s="242"/>
      <c r="S41" s="242"/>
      <c r="T41" s="14"/>
      <c r="U41" s="254"/>
      <c r="V41" s="255"/>
      <c r="W41" s="254"/>
      <c r="X41" s="15"/>
      <c r="Z41" s="124"/>
    </row>
    <row r="42" spans="1:28">
      <c r="C42" s="124"/>
      <c r="D42" s="124"/>
      <c r="E42" s="124"/>
      <c r="F42" s="124"/>
      <c r="G42" s="124"/>
      <c r="H42" s="124"/>
      <c r="Q42" s="244"/>
      <c r="R42" s="245"/>
      <c r="S42" s="245"/>
      <c r="T42" s="14"/>
      <c r="U42" s="158"/>
      <c r="V42" s="158"/>
      <c r="W42" s="158"/>
      <c r="X42" s="158"/>
      <c r="Z42" s="124"/>
    </row>
    <row r="43" spans="1:28">
      <c r="C43" s="124"/>
      <c r="D43" s="124"/>
      <c r="E43" s="124"/>
      <c r="F43" s="124"/>
      <c r="G43" s="124"/>
      <c r="H43" s="124"/>
    </row>
    <row r="44" spans="1:28">
      <c r="C44" s="124"/>
      <c r="D44" s="124"/>
      <c r="E44" s="124"/>
      <c r="F44" s="124"/>
      <c r="G44" s="124"/>
      <c r="H44" s="124"/>
    </row>
    <row r="45" spans="1:28">
      <c r="E45" s="124"/>
      <c r="F45" s="124"/>
      <c r="H45" s="124"/>
    </row>
    <row r="46" spans="1:28">
      <c r="C46" s="124"/>
      <c r="D46" s="124"/>
      <c r="E46" s="124"/>
      <c r="F46" s="124"/>
      <c r="G46" s="124"/>
      <c r="H46" s="124"/>
    </row>
    <row r="47" spans="1:28">
      <c r="C47" s="124"/>
      <c r="D47" s="124"/>
      <c r="E47" s="124"/>
      <c r="F47" s="124"/>
      <c r="G47" s="124"/>
      <c r="H47" s="124"/>
    </row>
    <row r="48" spans="1:28">
      <c r="C48" s="124"/>
      <c r="D48" s="124"/>
      <c r="E48" s="124"/>
      <c r="F48" s="124"/>
      <c r="H48" s="124"/>
      <c r="U48" s="124"/>
      <c r="V48" s="124"/>
      <c r="W48" s="124"/>
      <c r="X48" s="124"/>
      <c r="Y48" s="124"/>
      <c r="Z48" s="124"/>
    </row>
    <row r="49" spans="3:26">
      <c r="C49" s="124"/>
      <c r="D49" s="124"/>
      <c r="E49" s="124"/>
      <c r="F49" s="124"/>
      <c r="G49" s="124"/>
      <c r="H49" s="124"/>
      <c r="U49" s="124"/>
      <c r="V49" s="124"/>
      <c r="W49" s="124"/>
      <c r="X49" s="124"/>
      <c r="Y49" s="124"/>
      <c r="Z49" s="124"/>
    </row>
    <row r="50" spans="3:26">
      <c r="E50" s="124"/>
      <c r="F50" s="124"/>
      <c r="H50" s="124"/>
      <c r="U50" s="124"/>
      <c r="V50" s="124"/>
      <c r="X50" s="124"/>
      <c r="Y50" s="124"/>
      <c r="Z50" s="124"/>
    </row>
    <row r="51" spans="3:26">
      <c r="C51" s="124"/>
      <c r="D51" s="124"/>
      <c r="E51" s="124"/>
      <c r="F51" s="124"/>
      <c r="H51" s="124"/>
      <c r="U51" s="124"/>
      <c r="W51" s="124"/>
      <c r="X51" s="124"/>
      <c r="Z51" s="124"/>
    </row>
    <row r="52" spans="3:26">
      <c r="C52" s="124"/>
      <c r="D52" s="124"/>
      <c r="E52" s="124"/>
      <c r="F52" s="124"/>
      <c r="G52" s="124"/>
      <c r="H52" s="124"/>
      <c r="U52" s="124"/>
      <c r="X52" s="124"/>
      <c r="Y52" s="124"/>
      <c r="Z52" s="124"/>
    </row>
    <row r="53" spans="3:26">
      <c r="C53" s="124"/>
      <c r="D53" s="124"/>
      <c r="F53" s="124"/>
      <c r="G53" s="124"/>
      <c r="H53" s="124"/>
      <c r="U53" s="124"/>
      <c r="V53" s="124"/>
      <c r="W53" s="124"/>
      <c r="X53" s="124"/>
      <c r="Y53" s="124"/>
      <c r="Z53" s="124"/>
    </row>
    <row r="54" spans="3:26">
      <c r="C54" s="124"/>
      <c r="D54" s="124"/>
      <c r="F54" s="124"/>
      <c r="G54" s="124"/>
      <c r="H54" s="124"/>
      <c r="U54" s="124"/>
      <c r="V54" s="124"/>
      <c r="W54" s="124"/>
      <c r="X54" s="124"/>
      <c r="Z54" s="124"/>
    </row>
    <row r="55" spans="3:26">
      <c r="G55" s="124"/>
      <c r="H55" s="124"/>
      <c r="U55" s="124"/>
      <c r="V55" s="124"/>
      <c r="W55" s="124"/>
      <c r="X55" s="124"/>
      <c r="Y55" s="124"/>
      <c r="Z55" s="124"/>
    </row>
    <row r="56" spans="3:26">
      <c r="C56" s="124"/>
      <c r="D56" s="124"/>
      <c r="E56" s="124"/>
      <c r="F56" s="124"/>
      <c r="G56" s="124"/>
      <c r="H56" s="124"/>
      <c r="W56" s="124"/>
      <c r="X56" s="124"/>
      <c r="Z56" s="124"/>
    </row>
    <row r="57" spans="3:26">
      <c r="U57" s="124"/>
      <c r="V57" s="124"/>
      <c r="W57" s="124"/>
      <c r="X57" s="124"/>
      <c r="Z57" s="124"/>
    </row>
    <row r="58" spans="3:26">
      <c r="U58" s="124"/>
      <c r="V58" s="124"/>
      <c r="W58" s="124"/>
      <c r="X58" s="124"/>
      <c r="Y58" s="124"/>
      <c r="Z58" s="124"/>
    </row>
    <row r="59" spans="3:26">
      <c r="H59" s="124"/>
      <c r="U59" s="124"/>
      <c r="V59" s="124"/>
      <c r="W59" s="124"/>
      <c r="X59" s="124"/>
      <c r="Y59" s="124"/>
      <c r="Z59" s="124"/>
    </row>
    <row r="60" spans="3:26">
      <c r="H60" s="124"/>
      <c r="U60" s="124"/>
      <c r="V60" s="124"/>
      <c r="X60" s="124"/>
      <c r="Y60" s="124"/>
      <c r="Z60" s="124"/>
    </row>
    <row r="61" spans="3:26">
      <c r="H61" s="124"/>
      <c r="Y61" s="124"/>
      <c r="Z61" s="124"/>
    </row>
    <row r="62" spans="3:26">
      <c r="U62" s="124"/>
      <c r="V62" s="124"/>
      <c r="W62" s="124"/>
      <c r="X62" s="124"/>
      <c r="Y62" s="124"/>
      <c r="Z62" s="124"/>
    </row>
    <row r="65" spans="26:26">
      <c r="Z65" s="124"/>
    </row>
    <row r="67" spans="26:26">
      <c r="Z67" s="12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7CAB-1593-48FE-ACD8-54FCE4F55375}">
  <sheetPr>
    <tabColor rgb="FFFFC000"/>
  </sheetPr>
  <dimension ref="A1:AP67"/>
  <sheetViews>
    <sheetView zoomScale="90" zoomScaleNormal="90" workbookViewId="0">
      <pane xSplit="2" ySplit="3" topLeftCell="K4" activePane="bottomRight" state="frozen"/>
      <selection activeCell="L1" sqref="L1:L1048576"/>
      <selection pane="topRight" activeCell="L1" sqref="L1:L1048576"/>
      <selection pane="bottomLeft" activeCell="L1" sqref="L1:L1048576"/>
      <selection pane="bottomRight"/>
    </sheetView>
  </sheetViews>
  <sheetFormatPr defaultRowHeight="14.5"/>
  <cols>
    <col min="1" max="1" width="39.25" customWidth="1"/>
    <col min="2" max="2" width="40.08203125" customWidth="1"/>
    <col min="3" max="15" width="11.33203125" customWidth="1"/>
    <col min="16" max="16" width="11.5" customWidth="1"/>
  </cols>
  <sheetData>
    <row r="1" spans="1:42" s="1" customFormat="1" ht="15.5">
      <c r="A1" s="39" t="s">
        <v>607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266"/>
      <c r="M1" s="266"/>
      <c r="N1" s="266"/>
      <c r="O1" s="266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K1" s="15"/>
      <c r="AL1" s="15"/>
      <c r="AM1" s="15"/>
      <c r="AN1" s="15"/>
      <c r="AO1" s="15"/>
      <c r="AP1" s="15"/>
    </row>
    <row r="2" spans="1:42" s="1" customFormat="1" ht="15.5">
      <c r="A2" s="39" t="s">
        <v>606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263" t="s">
        <v>694</v>
      </c>
      <c r="M2" s="262"/>
      <c r="N2" s="262"/>
      <c r="O2" s="262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54"/>
      <c r="AK2" s="15"/>
      <c r="AL2" s="15"/>
      <c r="AM2" s="15"/>
      <c r="AN2" s="15"/>
      <c r="AO2" s="15"/>
      <c r="AP2" s="14"/>
    </row>
    <row r="3" spans="1:42" ht="24">
      <c r="A3" s="98" t="s">
        <v>395</v>
      </c>
      <c r="B3" s="98" t="s">
        <v>99</v>
      </c>
      <c r="C3" s="115"/>
      <c r="D3" s="115" t="s">
        <v>515</v>
      </c>
      <c r="E3" s="115" t="s">
        <v>523</v>
      </c>
      <c r="F3" s="115" t="s">
        <v>527</v>
      </c>
      <c r="G3" s="115" t="s">
        <v>533</v>
      </c>
      <c r="H3" s="115" t="s">
        <v>547</v>
      </c>
      <c r="I3" s="115" t="s">
        <v>648</v>
      </c>
      <c r="J3" s="115" t="s">
        <v>652</v>
      </c>
      <c r="K3" s="115" t="s">
        <v>661</v>
      </c>
      <c r="L3" s="115" t="s">
        <v>666</v>
      </c>
      <c r="M3" s="115" t="s">
        <v>672</v>
      </c>
      <c r="N3" s="115" t="s">
        <v>680</v>
      </c>
      <c r="O3" s="115" t="s">
        <v>685</v>
      </c>
      <c r="P3" s="115" t="s">
        <v>690</v>
      </c>
    </row>
    <row r="4" spans="1:42" s="1" customFormat="1" ht="12.5" thickBot="1">
      <c r="A4" s="211" t="s">
        <v>582</v>
      </c>
      <c r="B4" s="211" t="s">
        <v>592</v>
      </c>
      <c r="C4" s="218"/>
      <c r="D4" s="218">
        <f t="shared" ref="D4:D18" si="0">D23</f>
        <v>159541</v>
      </c>
      <c r="E4" s="218">
        <f t="shared" ref="E4:G18" si="1">E23-D23</f>
        <v>218481</v>
      </c>
      <c r="F4" s="218">
        <f t="shared" si="1"/>
        <v>228557</v>
      </c>
      <c r="G4" s="218">
        <f>G23-F23</f>
        <v>229554</v>
      </c>
      <c r="H4" s="218">
        <f>H23</f>
        <v>196695</v>
      </c>
      <c r="I4" s="218">
        <f t="shared" ref="I4:K18" si="2">I23-H23</f>
        <v>195288</v>
      </c>
      <c r="J4" s="218">
        <f>J23-I23</f>
        <v>194514</v>
      </c>
      <c r="K4" s="218">
        <f>K23-J23</f>
        <v>190156</v>
      </c>
      <c r="L4" s="264">
        <f>L23</f>
        <v>217827</v>
      </c>
      <c r="M4" s="218">
        <f t="shared" ref="M4:O18" si="3">M23-L23</f>
        <v>160752</v>
      </c>
      <c r="N4" s="218">
        <f>N23-M23</f>
        <v>188947</v>
      </c>
      <c r="O4" s="218">
        <f>O23-N23</f>
        <v>189412</v>
      </c>
      <c r="P4" s="218">
        <f>P23</f>
        <v>211535</v>
      </c>
    </row>
    <row r="5" spans="1:42" s="1" customFormat="1" ht="12.5" thickBot="1">
      <c r="A5" s="211" t="s">
        <v>1</v>
      </c>
      <c r="B5" s="211" t="s">
        <v>593</v>
      </c>
      <c r="C5" s="218"/>
      <c r="D5" s="218">
        <f t="shared" si="0"/>
        <v>55828</v>
      </c>
      <c r="E5" s="218">
        <f t="shared" si="1"/>
        <v>47232</v>
      </c>
      <c r="F5" s="218">
        <f t="shared" si="1"/>
        <v>46741</v>
      </c>
      <c r="G5" s="218">
        <f t="shared" si="1"/>
        <v>47156</v>
      </c>
      <c r="H5" s="218">
        <f t="shared" ref="H5:H18" si="4">H24</f>
        <v>46544</v>
      </c>
      <c r="I5" s="218">
        <f t="shared" si="2"/>
        <v>44603</v>
      </c>
      <c r="J5" s="218">
        <f t="shared" si="2"/>
        <v>42647</v>
      </c>
      <c r="K5" s="218">
        <f t="shared" si="2"/>
        <v>41775</v>
      </c>
      <c r="L5" s="264">
        <f t="shared" ref="L5:L18" si="5">L24</f>
        <v>50570</v>
      </c>
      <c r="M5" s="218">
        <f t="shared" si="3"/>
        <v>36101</v>
      </c>
      <c r="N5" s="218">
        <f t="shared" si="3"/>
        <v>42265</v>
      </c>
      <c r="O5" s="218">
        <f t="shared" si="3"/>
        <v>42739</v>
      </c>
      <c r="P5" s="218">
        <f t="shared" ref="P5:P18" si="6">P24</f>
        <v>50310</v>
      </c>
    </row>
    <row r="6" spans="1:42" s="1" customFormat="1" ht="24.5" thickBot="1">
      <c r="A6" s="211" t="s">
        <v>583</v>
      </c>
      <c r="B6" s="211" t="s">
        <v>598</v>
      </c>
      <c r="C6" s="218"/>
      <c r="D6" s="218">
        <f t="shared" si="0"/>
        <v>21416</v>
      </c>
      <c r="E6" s="218">
        <f t="shared" si="1"/>
        <v>23298</v>
      </c>
      <c r="F6" s="218">
        <f t="shared" si="1"/>
        <v>23868</v>
      </c>
      <c r="G6" s="218">
        <f t="shared" si="1"/>
        <v>26593</v>
      </c>
      <c r="H6" s="218">
        <f t="shared" si="4"/>
        <v>20533</v>
      </c>
      <c r="I6" s="218">
        <f t="shared" si="2"/>
        <v>20797</v>
      </c>
      <c r="J6" s="218">
        <f t="shared" si="2"/>
        <v>22124</v>
      </c>
      <c r="K6" s="218">
        <f t="shared" si="2"/>
        <v>21703</v>
      </c>
      <c r="L6" s="264">
        <f t="shared" si="5"/>
        <v>24667</v>
      </c>
      <c r="M6" s="218">
        <f t="shared" si="3"/>
        <v>19101</v>
      </c>
      <c r="N6" s="218">
        <f t="shared" si="3"/>
        <v>20541</v>
      </c>
      <c r="O6" s="218">
        <f t="shared" si="3"/>
        <v>22412</v>
      </c>
      <c r="P6" s="218">
        <f t="shared" si="6"/>
        <v>31023</v>
      </c>
    </row>
    <row r="7" spans="1:42" s="1" customFormat="1" ht="24.5" thickBot="1">
      <c r="A7" s="211" t="s">
        <v>584</v>
      </c>
      <c r="B7" s="211" t="s">
        <v>602</v>
      </c>
      <c r="C7" s="218"/>
      <c r="D7" s="218">
        <f t="shared" si="0"/>
        <v>0</v>
      </c>
      <c r="E7" s="218">
        <f t="shared" si="1"/>
        <v>0</v>
      </c>
      <c r="F7" s="218">
        <f t="shared" si="1"/>
        <v>0</v>
      </c>
      <c r="G7" s="218">
        <f t="shared" si="1"/>
        <v>0</v>
      </c>
      <c r="H7" s="218">
        <f t="shared" si="4"/>
        <v>0</v>
      </c>
      <c r="I7" s="218">
        <f t="shared" si="2"/>
        <v>0</v>
      </c>
      <c r="J7" s="218">
        <f t="shared" si="2"/>
        <v>0</v>
      </c>
      <c r="K7" s="218">
        <f t="shared" si="2"/>
        <v>0</v>
      </c>
      <c r="L7" s="218">
        <f t="shared" si="5"/>
        <v>0</v>
      </c>
      <c r="M7" s="218">
        <f t="shared" si="3"/>
        <v>0</v>
      </c>
      <c r="N7" s="218">
        <f t="shared" si="3"/>
        <v>0</v>
      </c>
      <c r="O7" s="218">
        <f t="shared" si="3"/>
        <v>0</v>
      </c>
      <c r="P7" s="218">
        <f t="shared" si="6"/>
        <v>0</v>
      </c>
    </row>
    <row r="8" spans="1:42" s="1" customFormat="1" ht="12.5" thickBot="1">
      <c r="A8" s="211" t="s">
        <v>585</v>
      </c>
      <c r="B8" s="211" t="s">
        <v>599</v>
      </c>
      <c r="C8" s="219"/>
      <c r="D8" s="218">
        <f t="shared" si="0"/>
        <v>-1107</v>
      </c>
      <c r="E8" s="218">
        <f t="shared" si="1"/>
        <v>-1249</v>
      </c>
      <c r="F8" s="218">
        <f t="shared" si="1"/>
        <v>-594</v>
      </c>
      <c r="G8" s="218">
        <f t="shared" si="1"/>
        <v>1597</v>
      </c>
      <c r="H8" s="218">
        <f t="shared" si="4"/>
        <v>-889</v>
      </c>
      <c r="I8" s="218">
        <f t="shared" si="2"/>
        <v>1103</v>
      </c>
      <c r="J8" s="218">
        <f t="shared" si="2"/>
        <v>2041</v>
      </c>
      <c r="K8" s="218">
        <f t="shared" si="2"/>
        <v>5171</v>
      </c>
      <c r="L8" s="264">
        <f t="shared" si="5"/>
        <v>-61</v>
      </c>
      <c r="M8" s="218">
        <f t="shared" si="3"/>
        <v>67</v>
      </c>
      <c r="N8" s="218">
        <f t="shared" si="3"/>
        <v>2819</v>
      </c>
      <c r="O8" s="218">
        <f t="shared" si="3"/>
        <v>198</v>
      </c>
      <c r="P8" s="218">
        <f t="shared" si="6"/>
        <v>1525</v>
      </c>
    </row>
    <row r="9" spans="1:42" s="1" customFormat="1" ht="12.5" thickBot="1">
      <c r="A9" s="212" t="s">
        <v>249</v>
      </c>
      <c r="B9" s="212" t="s">
        <v>603</v>
      </c>
      <c r="C9" s="220"/>
      <c r="D9" s="221">
        <f t="shared" si="0"/>
        <v>235678</v>
      </c>
      <c r="E9" s="221">
        <f t="shared" si="1"/>
        <v>287762</v>
      </c>
      <c r="F9" s="221">
        <f t="shared" si="1"/>
        <v>298572</v>
      </c>
      <c r="G9" s="221">
        <f t="shared" si="1"/>
        <v>304900</v>
      </c>
      <c r="H9" s="221">
        <f t="shared" si="4"/>
        <v>262883</v>
      </c>
      <c r="I9" s="221">
        <f t="shared" si="2"/>
        <v>261791</v>
      </c>
      <c r="J9" s="221">
        <f t="shared" si="2"/>
        <v>261326</v>
      </c>
      <c r="K9" s="221">
        <f t="shared" si="2"/>
        <v>258805</v>
      </c>
      <c r="L9" s="264">
        <f t="shared" si="5"/>
        <v>293003</v>
      </c>
      <c r="M9" s="221">
        <f t="shared" si="3"/>
        <v>216021</v>
      </c>
      <c r="N9" s="221">
        <f t="shared" si="3"/>
        <v>254572</v>
      </c>
      <c r="O9" s="221">
        <f t="shared" si="3"/>
        <v>254761</v>
      </c>
      <c r="P9" s="221">
        <f t="shared" si="6"/>
        <v>294393</v>
      </c>
    </row>
    <row r="10" spans="1:42" s="1" customFormat="1" ht="12.5" thickBot="1">
      <c r="A10" s="211" t="s">
        <v>53</v>
      </c>
      <c r="B10" s="211" t="s">
        <v>604</v>
      </c>
      <c r="C10" s="219"/>
      <c r="D10" s="218">
        <f t="shared" si="0"/>
        <v>-39090</v>
      </c>
      <c r="E10" s="218">
        <f t="shared" si="1"/>
        <v>-39114</v>
      </c>
      <c r="F10" s="218">
        <f t="shared" si="1"/>
        <v>-39495</v>
      </c>
      <c r="G10" s="218">
        <f t="shared" si="1"/>
        <v>-39777</v>
      </c>
      <c r="H10" s="218">
        <f t="shared" si="4"/>
        <v>-42991</v>
      </c>
      <c r="I10" s="218">
        <f t="shared" si="2"/>
        <v>-43614</v>
      </c>
      <c r="J10" s="218">
        <f t="shared" si="2"/>
        <v>-45570</v>
      </c>
      <c r="K10" s="218">
        <f t="shared" si="2"/>
        <v>-46837</v>
      </c>
      <c r="L10" s="264">
        <f t="shared" si="5"/>
        <v>-50773</v>
      </c>
      <c r="M10" s="218">
        <f t="shared" si="3"/>
        <v>-48956</v>
      </c>
      <c r="N10" s="218">
        <f t="shared" si="3"/>
        <v>-51106</v>
      </c>
      <c r="O10" s="218">
        <f t="shared" si="3"/>
        <v>-51452</v>
      </c>
      <c r="P10" s="218">
        <f t="shared" si="6"/>
        <v>-62266</v>
      </c>
    </row>
    <row r="11" spans="1:42" s="1" customFormat="1" ht="12.5" thickBot="1">
      <c r="A11" s="211" t="s">
        <v>586</v>
      </c>
      <c r="B11" s="211" t="s">
        <v>594</v>
      </c>
      <c r="C11" s="219"/>
      <c r="D11" s="218">
        <f t="shared" si="0"/>
        <v>-16015</v>
      </c>
      <c r="E11" s="218">
        <f t="shared" si="1"/>
        <v>-23368</v>
      </c>
      <c r="F11" s="218">
        <f t="shared" si="1"/>
        <v>-20195</v>
      </c>
      <c r="G11" s="218">
        <f t="shared" si="1"/>
        <v>-23307</v>
      </c>
      <c r="H11" s="218">
        <f t="shared" si="4"/>
        <v>-19980</v>
      </c>
      <c r="I11" s="218">
        <f t="shared" si="2"/>
        <v>-23112</v>
      </c>
      <c r="J11" s="218">
        <f t="shared" si="2"/>
        <v>-25957</v>
      </c>
      <c r="K11" s="218">
        <f t="shared" si="2"/>
        <v>-22339</v>
      </c>
      <c r="L11" s="264">
        <f t="shared" si="5"/>
        <v>-19668</v>
      </c>
      <c r="M11" s="218">
        <f t="shared" si="3"/>
        <v>-22356</v>
      </c>
      <c r="N11" s="218">
        <f t="shared" si="3"/>
        <v>-24482</v>
      </c>
      <c r="O11" s="218">
        <f t="shared" si="3"/>
        <v>-27391</v>
      </c>
      <c r="P11" s="218">
        <f t="shared" si="6"/>
        <v>-23506</v>
      </c>
    </row>
    <row r="12" spans="1:42" s="1" customFormat="1" ht="12.5" thickBot="1">
      <c r="A12" s="211" t="s">
        <v>600</v>
      </c>
      <c r="B12" s="211" t="s">
        <v>608</v>
      </c>
      <c r="C12" s="222"/>
      <c r="D12" s="223">
        <f t="shared" si="0"/>
        <v>-976</v>
      </c>
      <c r="E12" s="223">
        <f t="shared" si="1"/>
        <v>-6598</v>
      </c>
      <c r="F12" s="223">
        <f t="shared" si="1"/>
        <v>-640</v>
      </c>
      <c r="G12" s="223">
        <f t="shared" si="1"/>
        <v>-11</v>
      </c>
      <c r="H12" s="223">
        <f t="shared" si="4"/>
        <v>0</v>
      </c>
      <c r="I12" s="223">
        <f t="shared" si="2"/>
        <v>0</v>
      </c>
      <c r="J12" s="223">
        <f t="shared" si="2"/>
        <v>0</v>
      </c>
      <c r="K12" s="223">
        <f t="shared" si="2"/>
        <v>0</v>
      </c>
      <c r="L12" s="223">
        <f t="shared" si="5"/>
        <v>0</v>
      </c>
      <c r="M12" s="223">
        <f t="shared" si="3"/>
        <v>0</v>
      </c>
      <c r="N12" s="223">
        <f t="shared" si="3"/>
        <v>0</v>
      </c>
      <c r="O12" s="223">
        <f t="shared" si="3"/>
        <v>0</v>
      </c>
      <c r="P12" s="223">
        <f t="shared" si="6"/>
        <v>-442</v>
      </c>
    </row>
    <row r="13" spans="1:42" s="1" customFormat="1" ht="12.5" thickBot="1">
      <c r="A13" s="211" t="s">
        <v>587</v>
      </c>
      <c r="B13" s="211" t="s">
        <v>208</v>
      </c>
      <c r="C13" s="219"/>
      <c r="D13" s="218">
        <f t="shared" si="0"/>
        <v>-6860</v>
      </c>
      <c r="E13" s="218">
        <f t="shared" si="1"/>
        <v>-6970</v>
      </c>
      <c r="F13" s="218">
        <f t="shared" si="1"/>
        <v>-6803</v>
      </c>
      <c r="G13" s="218">
        <f t="shared" si="1"/>
        <v>-7027</v>
      </c>
      <c r="H13" s="218">
        <f t="shared" si="4"/>
        <v>-6201</v>
      </c>
      <c r="I13" s="218">
        <f t="shared" si="2"/>
        <v>-6449</v>
      </c>
      <c r="J13" s="218">
        <f t="shared" si="2"/>
        <v>-6549</v>
      </c>
      <c r="K13" s="218">
        <f t="shared" si="2"/>
        <v>-6550</v>
      </c>
      <c r="L13" s="264">
        <f t="shared" si="5"/>
        <v>-6616</v>
      </c>
      <c r="M13" s="218">
        <f t="shared" si="3"/>
        <v>-6597</v>
      </c>
      <c r="N13" s="218">
        <f t="shared" si="3"/>
        <v>-6857</v>
      </c>
      <c r="O13" s="218">
        <f t="shared" si="3"/>
        <v>-7059</v>
      </c>
      <c r="P13" s="218">
        <f t="shared" si="6"/>
        <v>-7422</v>
      </c>
    </row>
    <row r="14" spans="1:42" s="1" customFormat="1" ht="12.5" thickBot="1">
      <c r="A14" s="212" t="s">
        <v>588</v>
      </c>
      <c r="B14" s="212" t="s">
        <v>605</v>
      </c>
      <c r="C14" s="224"/>
      <c r="D14" s="221">
        <f t="shared" si="0"/>
        <v>-61965</v>
      </c>
      <c r="E14" s="221">
        <f t="shared" si="1"/>
        <v>-69452</v>
      </c>
      <c r="F14" s="221">
        <f t="shared" si="1"/>
        <v>-66493</v>
      </c>
      <c r="G14" s="221">
        <f t="shared" si="1"/>
        <v>-70111</v>
      </c>
      <c r="H14" s="221">
        <f t="shared" si="4"/>
        <v>-69172</v>
      </c>
      <c r="I14" s="221">
        <f t="shared" si="2"/>
        <v>-73175</v>
      </c>
      <c r="J14" s="221">
        <f t="shared" si="2"/>
        <v>-78076</v>
      </c>
      <c r="K14" s="221">
        <f t="shared" si="2"/>
        <v>-75726</v>
      </c>
      <c r="L14" s="264">
        <f t="shared" si="5"/>
        <v>-77057</v>
      </c>
      <c r="M14" s="221">
        <f t="shared" si="3"/>
        <v>-77909</v>
      </c>
      <c r="N14" s="221">
        <f t="shared" si="3"/>
        <v>-82445</v>
      </c>
      <c r="O14" s="221">
        <f t="shared" si="3"/>
        <v>-85902</v>
      </c>
      <c r="P14" s="221">
        <f t="shared" si="6"/>
        <v>-93194</v>
      </c>
    </row>
    <row r="15" spans="1:42" s="1" customFormat="1" ht="12.5" thickBot="1">
      <c r="A15" s="211" t="s">
        <v>589</v>
      </c>
      <c r="B15" s="211" t="s">
        <v>595</v>
      </c>
      <c r="C15" s="219"/>
      <c r="D15" s="218">
        <f t="shared" si="0"/>
        <v>-9161</v>
      </c>
      <c r="E15" s="218">
        <f t="shared" si="1"/>
        <v>12061</v>
      </c>
      <c r="F15" s="218">
        <f t="shared" si="1"/>
        <v>-11246</v>
      </c>
      <c r="G15" s="218">
        <f t="shared" si="1"/>
        <v>5495</v>
      </c>
      <c r="H15" s="218">
        <f t="shared" si="4"/>
        <v>931</v>
      </c>
      <c r="I15" s="218">
        <f t="shared" si="2"/>
        <v>-9667</v>
      </c>
      <c r="J15" s="218">
        <f t="shared" si="2"/>
        <v>3440</v>
      </c>
      <c r="K15" s="218">
        <f t="shared" si="2"/>
        <v>-9693</v>
      </c>
      <c r="L15" s="264">
        <f t="shared" si="5"/>
        <v>-16947</v>
      </c>
      <c r="M15" s="218">
        <f t="shared" si="3"/>
        <v>-38823</v>
      </c>
      <c r="N15" s="218">
        <f>N34-M34</f>
        <v>-43418</v>
      </c>
      <c r="O15" s="218">
        <f t="shared" si="3"/>
        <v>-1292</v>
      </c>
      <c r="P15" s="218">
        <f t="shared" si="6"/>
        <v>-19525</v>
      </c>
    </row>
    <row r="16" spans="1:42" s="1" customFormat="1" ht="12.5" thickBot="1">
      <c r="A16" s="211" t="s">
        <v>590</v>
      </c>
      <c r="B16" s="211" t="s">
        <v>210</v>
      </c>
      <c r="C16" s="219"/>
      <c r="D16" s="218">
        <f t="shared" si="0"/>
        <v>260</v>
      </c>
      <c r="E16" s="218">
        <f t="shared" si="1"/>
        <v>166</v>
      </c>
      <c r="F16" s="218">
        <f t="shared" si="1"/>
        <v>-252</v>
      </c>
      <c r="G16" s="218">
        <f t="shared" si="1"/>
        <v>-532</v>
      </c>
      <c r="H16" s="218">
        <f t="shared" si="4"/>
        <v>-574</v>
      </c>
      <c r="I16" s="218">
        <f t="shared" si="2"/>
        <v>-901</v>
      </c>
      <c r="J16" s="218">
        <f t="shared" si="2"/>
        <v>-1019</v>
      </c>
      <c r="K16" s="218">
        <f t="shared" si="2"/>
        <v>-582</v>
      </c>
      <c r="L16" s="264">
        <f t="shared" si="5"/>
        <v>-1095</v>
      </c>
      <c r="M16" s="218">
        <f t="shared" si="3"/>
        <v>-610</v>
      </c>
      <c r="N16" s="218">
        <f t="shared" si="3"/>
        <v>-291</v>
      </c>
      <c r="O16" s="218">
        <f t="shared" si="3"/>
        <v>2902</v>
      </c>
      <c r="P16" s="218">
        <f t="shared" si="6"/>
        <v>290</v>
      </c>
    </row>
    <row r="17" spans="1:42" s="1" customFormat="1" ht="24.5" thickBot="1">
      <c r="A17" s="211" t="s">
        <v>601</v>
      </c>
      <c r="B17" s="211" t="s">
        <v>596</v>
      </c>
      <c r="C17" s="218"/>
      <c r="D17" s="218">
        <f t="shared" si="0"/>
        <v>0</v>
      </c>
      <c r="E17" s="218">
        <f t="shared" si="1"/>
        <v>0</v>
      </c>
      <c r="F17" s="218">
        <f t="shared" si="1"/>
        <v>0</v>
      </c>
      <c r="G17" s="218">
        <f t="shared" si="1"/>
        <v>0</v>
      </c>
      <c r="H17" s="218">
        <f t="shared" si="4"/>
        <v>0</v>
      </c>
      <c r="I17" s="218">
        <f t="shared" si="2"/>
        <v>0</v>
      </c>
      <c r="J17" s="218">
        <f t="shared" si="2"/>
        <v>0</v>
      </c>
      <c r="K17" s="218">
        <f>K36-J36</f>
        <v>0</v>
      </c>
      <c r="L17" s="218">
        <f t="shared" si="5"/>
        <v>0</v>
      </c>
      <c r="M17" s="218">
        <f t="shared" si="3"/>
        <v>0</v>
      </c>
      <c r="N17" s="218">
        <f t="shared" si="3"/>
        <v>0</v>
      </c>
      <c r="O17" s="218">
        <f t="shared" si="3"/>
        <v>0</v>
      </c>
      <c r="P17" s="218">
        <f t="shared" si="6"/>
        <v>0</v>
      </c>
    </row>
    <row r="18" spans="1:42" s="1" customFormat="1" ht="12.5" thickBot="1">
      <c r="A18" s="213" t="s">
        <v>591</v>
      </c>
      <c r="B18" s="213" t="s">
        <v>597</v>
      </c>
      <c r="C18" s="225"/>
      <c r="D18" s="226">
        <f t="shared" si="0"/>
        <v>164812</v>
      </c>
      <c r="E18" s="226">
        <f t="shared" si="1"/>
        <v>230537</v>
      </c>
      <c r="F18" s="226">
        <f t="shared" si="1"/>
        <v>220581</v>
      </c>
      <c r="G18" s="226">
        <f t="shared" si="1"/>
        <v>239752</v>
      </c>
      <c r="H18" s="226">
        <f t="shared" si="4"/>
        <v>194068</v>
      </c>
      <c r="I18" s="226">
        <f t="shared" si="2"/>
        <v>178048</v>
      </c>
      <c r="J18" s="226">
        <f t="shared" si="2"/>
        <v>185671</v>
      </c>
      <c r="K18" s="226">
        <f t="shared" si="2"/>
        <v>172804</v>
      </c>
      <c r="L18" s="265">
        <f t="shared" si="5"/>
        <v>197904</v>
      </c>
      <c r="M18" s="226">
        <f t="shared" si="3"/>
        <v>98679</v>
      </c>
      <c r="N18" s="226">
        <f t="shared" si="3"/>
        <v>128418</v>
      </c>
      <c r="O18" s="226">
        <f t="shared" si="3"/>
        <v>170469</v>
      </c>
      <c r="P18" s="226">
        <f t="shared" si="6"/>
        <v>181964</v>
      </c>
    </row>
    <row r="20" spans="1:42" s="1" customFormat="1" ht="15.5">
      <c r="A20" s="39" t="s">
        <v>611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K20" s="15"/>
      <c r="AL20" s="15"/>
      <c r="AM20" s="15"/>
      <c r="AN20" s="15"/>
      <c r="AO20" s="15"/>
      <c r="AP20" s="15"/>
    </row>
    <row r="21" spans="1:42" s="1" customFormat="1" ht="15.5">
      <c r="A21" s="39" t="s">
        <v>612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54"/>
      <c r="AK21" s="15"/>
      <c r="AL21" s="15"/>
      <c r="AM21" s="15"/>
      <c r="AN21" s="15"/>
      <c r="AO21" s="15"/>
      <c r="AP21" s="14"/>
    </row>
    <row r="22" spans="1:42" ht="24">
      <c r="A22" s="98" t="s">
        <v>395</v>
      </c>
      <c r="B22" s="98" t="s">
        <v>99</v>
      </c>
      <c r="C22" s="115" t="s">
        <v>511</v>
      </c>
      <c r="D22" s="115" t="s">
        <v>515</v>
      </c>
      <c r="E22" s="115" t="s">
        <v>522</v>
      </c>
      <c r="F22" s="115" t="s">
        <v>528</v>
      </c>
      <c r="G22" s="115" t="s">
        <v>532</v>
      </c>
      <c r="H22" s="115" t="s">
        <v>547</v>
      </c>
      <c r="I22" s="115" t="s">
        <v>647</v>
      </c>
      <c r="J22" s="115" t="s">
        <v>651</v>
      </c>
      <c r="K22" s="115" t="s">
        <v>662</v>
      </c>
      <c r="L22" s="115" t="s">
        <v>666</v>
      </c>
      <c r="M22" s="115" t="s">
        <v>673</v>
      </c>
      <c r="N22" s="115" t="s">
        <v>681</v>
      </c>
      <c r="O22" s="115" t="s">
        <v>686</v>
      </c>
      <c r="P22" s="115" t="s">
        <v>690</v>
      </c>
      <c r="S22" s="1"/>
      <c r="T22" s="1"/>
      <c r="U22" s="1"/>
      <c r="V22" s="1"/>
      <c r="W22" s="1"/>
      <c r="X22" s="1"/>
    </row>
    <row r="23" spans="1:42" s="1" customFormat="1" ht="12.5" thickBot="1">
      <c r="A23" s="211" t="s">
        <v>582</v>
      </c>
      <c r="B23" s="211" t="s">
        <v>592</v>
      </c>
      <c r="C23" s="218">
        <v>335342</v>
      </c>
      <c r="D23" s="218">
        <v>159541</v>
      </c>
      <c r="E23" s="218">
        <v>378022</v>
      </c>
      <c r="F23" s="218">
        <v>606579</v>
      </c>
      <c r="G23" s="218">
        <v>836133</v>
      </c>
      <c r="H23" s="218">
        <v>196695</v>
      </c>
      <c r="I23" s="218">
        <v>391983</v>
      </c>
      <c r="J23" s="218">
        <v>586497</v>
      </c>
      <c r="K23" s="218">
        <v>776653</v>
      </c>
      <c r="L23" s="264">
        <v>217827</v>
      </c>
      <c r="M23" s="218">
        <v>378579</v>
      </c>
      <c r="N23" s="218">
        <v>567526</v>
      </c>
      <c r="O23" s="218">
        <v>756938</v>
      </c>
      <c r="P23" s="218">
        <v>211535</v>
      </c>
      <c r="Q23" s="14"/>
      <c r="S23" s="14"/>
      <c r="T23" s="14"/>
      <c r="U23" s="15"/>
      <c r="V23" s="15"/>
      <c r="W23" s="15"/>
      <c r="X23" s="15"/>
      <c r="Y23" s="15"/>
      <c r="Z23" s="15"/>
    </row>
    <row r="24" spans="1:42" s="1" customFormat="1" ht="12.5" thickBot="1">
      <c r="A24" s="211" t="s">
        <v>1</v>
      </c>
      <c r="B24" s="211" t="s">
        <v>593</v>
      </c>
      <c r="C24" s="218">
        <v>186389</v>
      </c>
      <c r="D24" s="218">
        <v>55828</v>
      </c>
      <c r="E24" s="218">
        <v>103060</v>
      </c>
      <c r="F24" s="218">
        <v>149801</v>
      </c>
      <c r="G24" s="218">
        <v>196957</v>
      </c>
      <c r="H24" s="218">
        <v>46544</v>
      </c>
      <c r="I24" s="218">
        <v>91147</v>
      </c>
      <c r="J24" s="218">
        <v>133794</v>
      </c>
      <c r="K24" s="218">
        <v>175569</v>
      </c>
      <c r="L24" s="264">
        <v>50570</v>
      </c>
      <c r="M24" s="218">
        <v>86671</v>
      </c>
      <c r="N24" s="218">
        <v>128936</v>
      </c>
      <c r="O24" s="218">
        <v>171675</v>
      </c>
      <c r="P24" s="218">
        <v>50310</v>
      </c>
      <c r="Q24" s="14"/>
      <c r="S24" s="14"/>
      <c r="T24" s="14"/>
      <c r="U24" s="15"/>
      <c r="V24" s="15"/>
      <c r="W24" s="15"/>
      <c r="X24" s="15"/>
      <c r="Y24" s="15"/>
      <c r="Z24" s="15"/>
    </row>
    <row r="25" spans="1:42" s="1" customFormat="1" ht="24.5" thickBot="1">
      <c r="A25" s="211" t="s">
        <v>583</v>
      </c>
      <c r="B25" s="211" t="s">
        <v>598</v>
      </c>
      <c r="C25" s="218">
        <v>75912</v>
      </c>
      <c r="D25" s="218">
        <v>21416</v>
      </c>
      <c r="E25" s="218">
        <v>44714</v>
      </c>
      <c r="F25" s="218">
        <v>68582</v>
      </c>
      <c r="G25" s="218">
        <v>95175</v>
      </c>
      <c r="H25" s="218">
        <v>20533</v>
      </c>
      <c r="I25" s="218">
        <v>41330</v>
      </c>
      <c r="J25" s="218">
        <v>63454</v>
      </c>
      <c r="K25" s="218">
        <v>85157</v>
      </c>
      <c r="L25" s="264">
        <v>24667</v>
      </c>
      <c r="M25" s="218">
        <v>43768</v>
      </c>
      <c r="N25" s="218">
        <v>64309</v>
      </c>
      <c r="O25" s="218">
        <v>86721</v>
      </c>
      <c r="P25" s="218">
        <v>31023</v>
      </c>
      <c r="Q25" s="14"/>
      <c r="S25" s="14"/>
      <c r="T25" s="14"/>
      <c r="U25" s="15"/>
      <c r="V25" s="15"/>
      <c r="W25" s="15"/>
      <c r="X25" s="15"/>
      <c r="Y25" s="15"/>
      <c r="Z25" s="15"/>
    </row>
    <row r="26" spans="1:42" s="1" customFormat="1" ht="24.5" thickBot="1">
      <c r="A26" s="211" t="s">
        <v>584</v>
      </c>
      <c r="B26" s="211" t="s">
        <v>602</v>
      </c>
      <c r="C26" s="218">
        <v>0</v>
      </c>
      <c r="D26" s="218">
        <v>0</v>
      </c>
      <c r="E26" s="218">
        <v>0</v>
      </c>
      <c r="F26" s="218">
        <v>0</v>
      </c>
      <c r="G26" s="218">
        <v>0</v>
      </c>
      <c r="H26" s="218">
        <v>0</v>
      </c>
      <c r="I26" s="218">
        <v>0</v>
      </c>
      <c r="J26" s="218">
        <v>0</v>
      </c>
      <c r="K26" s="218">
        <v>0</v>
      </c>
      <c r="L26" s="218">
        <v>0</v>
      </c>
      <c r="M26" s="218">
        <v>0</v>
      </c>
      <c r="N26" s="218">
        <v>0</v>
      </c>
      <c r="O26" s="218">
        <v>0</v>
      </c>
      <c r="P26" s="218">
        <v>0</v>
      </c>
      <c r="Q26" s="14"/>
      <c r="S26" s="14"/>
      <c r="T26" s="14"/>
      <c r="W26" s="15"/>
      <c r="X26" s="15"/>
      <c r="Z26" s="15"/>
    </row>
    <row r="27" spans="1:42" s="1" customFormat="1" ht="12.5" thickBot="1">
      <c r="A27" s="211" t="s">
        <v>585</v>
      </c>
      <c r="B27" s="211" t="s">
        <v>599</v>
      </c>
      <c r="C27" s="218">
        <v>-5884</v>
      </c>
      <c r="D27" s="218">
        <v>-1107</v>
      </c>
      <c r="E27" s="218">
        <v>-2356</v>
      </c>
      <c r="F27" s="218">
        <v>-2950</v>
      </c>
      <c r="G27" s="218">
        <v>-1353</v>
      </c>
      <c r="H27" s="218">
        <v>-889</v>
      </c>
      <c r="I27" s="218">
        <v>214</v>
      </c>
      <c r="J27" s="218">
        <v>2255</v>
      </c>
      <c r="K27" s="218">
        <v>7426</v>
      </c>
      <c r="L27" s="264">
        <v>-61</v>
      </c>
      <c r="M27" s="218">
        <v>6</v>
      </c>
      <c r="N27" s="218">
        <v>2825</v>
      </c>
      <c r="O27" s="218">
        <v>3023</v>
      </c>
      <c r="P27" s="218">
        <v>1525</v>
      </c>
      <c r="Q27" s="14"/>
      <c r="S27" s="14"/>
      <c r="T27" s="14"/>
      <c r="U27" s="15"/>
      <c r="V27" s="15"/>
      <c r="W27" s="15"/>
      <c r="X27" s="15"/>
      <c r="Y27" s="15"/>
      <c r="Z27" s="15"/>
    </row>
    <row r="28" spans="1:42" s="1" customFormat="1" ht="12.5" thickBot="1">
      <c r="A28" s="212" t="s">
        <v>249</v>
      </c>
      <c r="B28" s="212" t="s">
        <v>603</v>
      </c>
      <c r="C28" s="221">
        <v>591759</v>
      </c>
      <c r="D28" s="221">
        <v>235678</v>
      </c>
      <c r="E28" s="221">
        <v>523440</v>
      </c>
      <c r="F28" s="221">
        <v>822012</v>
      </c>
      <c r="G28" s="221">
        <v>1126912</v>
      </c>
      <c r="H28" s="221">
        <v>262883</v>
      </c>
      <c r="I28" s="221">
        <v>524674</v>
      </c>
      <c r="J28" s="221">
        <v>786000</v>
      </c>
      <c r="K28" s="221">
        <f>SUM(K23:K27)</f>
        <v>1044805</v>
      </c>
      <c r="L28" s="264">
        <f>SUM(L23:L27)</f>
        <v>293003</v>
      </c>
      <c r="M28" s="221">
        <f>SUM(M23:M27)</f>
        <v>509024</v>
      </c>
      <c r="N28" s="221">
        <f>+N23+N24+N25+N26+N27</f>
        <v>763596</v>
      </c>
      <c r="O28" s="221">
        <f>+O23+O24+O25+O26+O27</f>
        <v>1018357</v>
      </c>
      <c r="P28" s="221">
        <f>+P23+P24+P25+P26+P27</f>
        <v>294393</v>
      </c>
      <c r="Q28" s="14"/>
      <c r="S28" s="14"/>
      <c r="T28" s="14"/>
      <c r="U28" s="15"/>
      <c r="V28" s="15"/>
      <c r="W28" s="15"/>
      <c r="X28" s="15"/>
      <c r="Y28" s="15"/>
      <c r="Z28" s="15"/>
    </row>
    <row r="29" spans="1:42" s="1" customFormat="1" ht="12.5" thickBot="1">
      <c r="A29" s="211" t="s">
        <v>53</v>
      </c>
      <c r="B29" s="211" t="s">
        <v>604</v>
      </c>
      <c r="C29" s="218">
        <v>-139811</v>
      </c>
      <c r="D29" s="218">
        <v>-39090</v>
      </c>
      <c r="E29" s="218">
        <v>-78204</v>
      </c>
      <c r="F29" s="218">
        <v>-117699</v>
      </c>
      <c r="G29" s="218">
        <v>-157476</v>
      </c>
      <c r="H29" s="218">
        <v>-42991</v>
      </c>
      <c r="I29" s="218">
        <v>-86605</v>
      </c>
      <c r="J29" s="218">
        <v>-132175</v>
      </c>
      <c r="K29" s="218">
        <v>-179012</v>
      </c>
      <c r="L29" s="264">
        <v>-50773</v>
      </c>
      <c r="M29" s="218">
        <v>-99729</v>
      </c>
      <c r="N29" s="218">
        <v>-150835</v>
      </c>
      <c r="O29" s="218">
        <v>-202287</v>
      </c>
      <c r="P29" s="218">
        <v>-62266</v>
      </c>
      <c r="Q29" s="14"/>
      <c r="S29" s="14"/>
      <c r="T29" s="14"/>
      <c r="U29" s="15"/>
      <c r="V29" s="15"/>
      <c r="W29" s="15"/>
      <c r="X29" s="15"/>
      <c r="Z29" s="15"/>
    </row>
    <row r="30" spans="1:42" s="1" customFormat="1" ht="12.5" thickBot="1">
      <c r="A30" s="211" t="s">
        <v>586</v>
      </c>
      <c r="B30" s="211" t="s">
        <v>594</v>
      </c>
      <c r="C30" s="218">
        <v>-70042</v>
      </c>
      <c r="D30" s="218">
        <v>-16015</v>
      </c>
      <c r="E30" s="218">
        <v>-39383</v>
      </c>
      <c r="F30" s="218">
        <v>-59578</v>
      </c>
      <c r="G30" s="218">
        <v>-82885</v>
      </c>
      <c r="H30" s="218">
        <v>-19980</v>
      </c>
      <c r="I30" s="218">
        <v>-43092</v>
      </c>
      <c r="J30" s="218">
        <v>-69049</v>
      </c>
      <c r="K30" s="218">
        <v>-91388</v>
      </c>
      <c r="L30" s="264">
        <v>-19668</v>
      </c>
      <c r="M30" s="218">
        <v>-42024</v>
      </c>
      <c r="N30" s="218">
        <v>-66506</v>
      </c>
      <c r="O30" s="218">
        <v>-93897</v>
      </c>
      <c r="P30" s="218">
        <v>-23506</v>
      </c>
      <c r="Q30" s="14"/>
      <c r="S30" s="14"/>
      <c r="T30" s="14"/>
      <c r="U30" s="15"/>
      <c r="V30" s="15"/>
      <c r="W30" s="15"/>
      <c r="X30" s="15"/>
      <c r="Y30" s="15"/>
      <c r="Z30" s="15"/>
    </row>
    <row r="31" spans="1:42" s="1" customFormat="1" ht="12.5" thickBot="1">
      <c r="A31" s="211" t="s">
        <v>600</v>
      </c>
      <c r="B31" s="211" t="s">
        <v>608</v>
      </c>
      <c r="C31" s="223">
        <v>-1910</v>
      </c>
      <c r="D31" s="223">
        <v>-976</v>
      </c>
      <c r="E31" s="223">
        <v>-7574</v>
      </c>
      <c r="F31" s="223">
        <v>-8214</v>
      </c>
      <c r="G31" s="223">
        <v>-8225</v>
      </c>
      <c r="H31" s="223">
        <v>0</v>
      </c>
      <c r="I31" s="223">
        <v>0</v>
      </c>
      <c r="J31" s="223">
        <v>0</v>
      </c>
      <c r="K31" s="223">
        <v>0</v>
      </c>
      <c r="L31" s="223">
        <v>0</v>
      </c>
      <c r="M31" s="223">
        <v>0</v>
      </c>
      <c r="N31" s="223">
        <v>0</v>
      </c>
      <c r="O31" s="223">
        <v>0</v>
      </c>
      <c r="P31" s="223">
        <v>-442</v>
      </c>
      <c r="Q31" s="14"/>
      <c r="S31" s="14"/>
      <c r="T31" s="14"/>
      <c r="U31" s="15"/>
      <c r="W31" s="15"/>
      <c r="X31" s="15"/>
      <c r="Z31" s="15"/>
    </row>
    <row r="32" spans="1:42" s="1" customFormat="1" ht="12.5" thickBot="1">
      <c r="A32" s="211" t="s">
        <v>587</v>
      </c>
      <c r="B32" s="211" t="s">
        <v>208</v>
      </c>
      <c r="C32" s="218">
        <v>-25528</v>
      </c>
      <c r="D32" s="218">
        <v>-6860</v>
      </c>
      <c r="E32" s="218">
        <v>-13830</v>
      </c>
      <c r="F32" s="218">
        <v>-20633</v>
      </c>
      <c r="G32" s="218">
        <v>-27660</v>
      </c>
      <c r="H32" s="218">
        <v>-6201</v>
      </c>
      <c r="I32" s="218">
        <v>-12650</v>
      </c>
      <c r="J32" s="218">
        <v>-19199</v>
      </c>
      <c r="K32" s="218">
        <v>-25749</v>
      </c>
      <c r="L32" s="264">
        <v>-6616</v>
      </c>
      <c r="M32" s="218">
        <v>-13213</v>
      </c>
      <c r="N32" s="218">
        <v>-20070</v>
      </c>
      <c r="O32" s="218">
        <v>-27129</v>
      </c>
      <c r="P32" s="218">
        <v>-7422</v>
      </c>
      <c r="Q32" s="14"/>
      <c r="S32" s="14"/>
      <c r="T32" s="14"/>
      <c r="U32" s="15"/>
      <c r="V32" s="15"/>
      <c r="W32" s="15"/>
      <c r="X32" s="15"/>
      <c r="Z32" s="15"/>
    </row>
    <row r="33" spans="1:26" s="1" customFormat="1" ht="12.5" thickBot="1">
      <c r="A33" s="212" t="s">
        <v>588</v>
      </c>
      <c r="B33" s="212" t="s">
        <v>605</v>
      </c>
      <c r="C33" s="221">
        <v>-235381</v>
      </c>
      <c r="D33" s="221">
        <v>-61965</v>
      </c>
      <c r="E33" s="221">
        <v>-131417</v>
      </c>
      <c r="F33" s="221">
        <v>-197910</v>
      </c>
      <c r="G33" s="221">
        <v>-268021</v>
      </c>
      <c r="H33" s="221">
        <v>-69172</v>
      </c>
      <c r="I33" s="221">
        <v>-142347</v>
      </c>
      <c r="J33" s="221">
        <v>-220423</v>
      </c>
      <c r="K33" s="221">
        <f t="shared" ref="K33:P33" si="7">+K32+K30+K29</f>
        <v>-296149</v>
      </c>
      <c r="L33" s="264">
        <f t="shared" si="7"/>
        <v>-77057</v>
      </c>
      <c r="M33" s="221">
        <f t="shared" si="7"/>
        <v>-154966</v>
      </c>
      <c r="N33" s="221">
        <f t="shared" si="7"/>
        <v>-237411</v>
      </c>
      <c r="O33" s="221">
        <f t="shared" si="7"/>
        <v>-323313</v>
      </c>
      <c r="P33" s="221">
        <f t="shared" si="7"/>
        <v>-93194</v>
      </c>
      <c r="Q33" s="14"/>
      <c r="S33" s="14"/>
      <c r="T33" s="14"/>
      <c r="U33" s="15"/>
      <c r="V33" s="15"/>
      <c r="W33" s="15"/>
      <c r="X33" s="15"/>
      <c r="Y33" s="15"/>
      <c r="Z33" s="15"/>
    </row>
    <row r="34" spans="1:26" s="1" customFormat="1" ht="12.5" thickBot="1">
      <c r="A34" s="211" t="s">
        <v>589</v>
      </c>
      <c r="B34" s="211" t="s">
        <v>595</v>
      </c>
      <c r="C34" s="218">
        <v>-1784</v>
      </c>
      <c r="D34" s="218">
        <v>-9161</v>
      </c>
      <c r="E34" s="218">
        <v>2900</v>
      </c>
      <c r="F34" s="218">
        <v>-8346</v>
      </c>
      <c r="G34" s="218">
        <v>-2851</v>
      </c>
      <c r="H34" s="218">
        <v>931</v>
      </c>
      <c r="I34" s="218">
        <v>-8736</v>
      </c>
      <c r="J34" s="218">
        <v>-5296</v>
      </c>
      <c r="K34" s="218">
        <v>-14989</v>
      </c>
      <c r="L34" s="264">
        <v>-16947</v>
      </c>
      <c r="M34" s="218">
        <v>-55770</v>
      </c>
      <c r="N34" s="218">
        <v>-99188</v>
      </c>
      <c r="O34" s="218">
        <v>-100480</v>
      </c>
      <c r="P34" s="218">
        <v>-19525</v>
      </c>
      <c r="Q34" s="14"/>
      <c r="S34" s="14"/>
      <c r="T34" s="14"/>
      <c r="U34" s="15"/>
      <c r="V34" s="15"/>
      <c r="W34" s="15"/>
      <c r="X34" s="15"/>
      <c r="Y34" s="15"/>
      <c r="Z34" s="15"/>
    </row>
    <row r="35" spans="1:26" s="1" customFormat="1" ht="12.5" thickBot="1">
      <c r="A35" s="211" t="s">
        <v>590</v>
      </c>
      <c r="B35" s="211" t="s">
        <v>210</v>
      </c>
      <c r="C35" s="218">
        <v>551</v>
      </c>
      <c r="D35" s="218">
        <v>260</v>
      </c>
      <c r="E35" s="218">
        <v>426</v>
      </c>
      <c r="F35" s="218">
        <v>174</v>
      </c>
      <c r="G35" s="218">
        <v>-358</v>
      </c>
      <c r="H35" s="218">
        <v>-574</v>
      </c>
      <c r="I35" s="218">
        <v>-1475</v>
      </c>
      <c r="J35" s="218">
        <v>-2494</v>
      </c>
      <c r="K35" s="218">
        <v>-3076</v>
      </c>
      <c r="L35" s="264">
        <v>-1095</v>
      </c>
      <c r="M35" s="218">
        <v>-1705</v>
      </c>
      <c r="N35" s="218">
        <v>-1996</v>
      </c>
      <c r="O35" s="218">
        <v>906</v>
      </c>
      <c r="P35" s="218">
        <v>290</v>
      </c>
      <c r="Q35" s="14"/>
      <c r="S35" s="14"/>
      <c r="T35" s="14"/>
      <c r="U35" s="15"/>
      <c r="V35" s="15"/>
      <c r="X35" s="15"/>
      <c r="Y35" s="15"/>
      <c r="Z35" s="15"/>
    </row>
    <row r="36" spans="1:26" s="1" customFormat="1" ht="24.5" thickBot="1">
      <c r="A36" s="211" t="s">
        <v>601</v>
      </c>
      <c r="B36" s="211" t="s">
        <v>596</v>
      </c>
      <c r="C36" s="218">
        <v>0</v>
      </c>
      <c r="D36" s="218">
        <v>0</v>
      </c>
      <c r="E36" s="218">
        <v>0</v>
      </c>
      <c r="F36" s="218">
        <v>0</v>
      </c>
      <c r="G36" s="218">
        <v>0</v>
      </c>
      <c r="H36" s="218">
        <v>0</v>
      </c>
      <c r="I36" s="218">
        <v>0</v>
      </c>
      <c r="J36" s="218">
        <v>0</v>
      </c>
      <c r="K36" s="218">
        <v>0</v>
      </c>
      <c r="L36" s="218">
        <v>0</v>
      </c>
      <c r="M36" s="218">
        <v>0</v>
      </c>
      <c r="N36" s="218">
        <v>0</v>
      </c>
      <c r="O36" s="218">
        <v>0</v>
      </c>
      <c r="P36" s="218">
        <v>0</v>
      </c>
      <c r="Q36" s="14"/>
      <c r="S36" s="14"/>
      <c r="T36" s="14"/>
      <c r="X36" s="15"/>
      <c r="Y36" s="15"/>
      <c r="Z36" s="15"/>
    </row>
    <row r="37" spans="1:26" s="1" customFormat="1" ht="12.5" thickBot="1">
      <c r="A37" s="213" t="s">
        <v>591</v>
      </c>
      <c r="B37" s="213" t="s">
        <v>597</v>
      </c>
      <c r="C37" s="226">
        <v>355145</v>
      </c>
      <c r="D37" s="226">
        <v>164812</v>
      </c>
      <c r="E37" s="226">
        <v>395349</v>
      </c>
      <c r="F37" s="226">
        <v>615930</v>
      </c>
      <c r="G37" s="226">
        <v>855682</v>
      </c>
      <c r="H37" s="226">
        <v>194068</v>
      </c>
      <c r="I37" s="226">
        <v>372116</v>
      </c>
      <c r="J37" s="226">
        <v>557787</v>
      </c>
      <c r="K37" s="226">
        <f>+K33+K34+K35+K28</f>
        <v>730591</v>
      </c>
      <c r="L37" s="265">
        <f>+L33+L34+L35+L28</f>
        <v>197904</v>
      </c>
      <c r="M37" s="226">
        <f>+M33+M34+M35+M28</f>
        <v>296583</v>
      </c>
      <c r="N37" s="226">
        <f>+N28+N33+N34+N35+N36</f>
        <v>425001</v>
      </c>
      <c r="O37" s="226">
        <f>+O28+O33+O34+O35+O36</f>
        <v>595470</v>
      </c>
      <c r="P37" s="226">
        <f>+P28+P33+P34+P35+P36</f>
        <v>181964</v>
      </c>
      <c r="Q37" s="14"/>
      <c r="S37" s="14"/>
      <c r="T37" s="14"/>
      <c r="U37" s="254"/>
      <c r="V37" s="255"/>
      <c r="W37" s="254"/>
      <c r="X37" s="15"/>
      <c r="Y37" s="15"/>
      <c r="Z37" s="15"/>
    </row>
    <row r="39" spans="1:26">
      <c r="N39" s="69"/>
      <c r="O39" s="69"/>
      <c r="T39" s="14"/>
      <c r="U39" s="243"/>
      <c r="V39" s="242"/>
      <c r="W39" s="243"/>
      <c r="Z39" s="124"/>
    </row>
    <row r="40" spans="1:26">
      <c r="T40" s="14"/>
      <c r="U40" s="245"/>
      <c r="V40" s="245"/>
      <c r="W40" s="246"/>
      <c r="Z40" s="124"/>
    </row>
    <row r="41" spans="1:26">
      <c r="T41" s="14"/>
      <c r="U41" s="254"/>
      <c r="V41" s="255"/>
      <c r="W41" s="254"/>
      <c r="X41" s="15"/>
      <c r="Z41" s="124"/>
    </row>
    <row r="42" spans="1:26">
      <c r="T42" s="14"/>
      <c r="U42" s="158"/>
      <c r="V42" s="158"/>
      <c r="W42" s="158"/>
      <c r="X42" s="158"/>
      <c r="Z42" s="124"/>
    </row>
    <row r="48" spans="1:26">
      <c r="U48" s="124"/>
      <c r="V48" s="124"/>
      <c r="W48" s="124"/>
      <c r="X48" s="124"/>
      <c r="Y48" s="124"/>
      <c r="Z48" s="124"/>
    </row>
    <row r="49" spans="21:26">
      <c r="U49" s="124"/>
      <c r="V49" s="124"/>
      <c r="W49" s="124"/>
      <c r="X49" s="124"/>
      <c r="Y49" s="124"/>
      <c r="Z49" s="124"/>
    </row>
    <row r="50" spans="21:26">
      <c r="U50" s="124"/>
      <c r="V50" s="124"/>
      <c r="X50" s="124"/>
      <c r="Y50" s="124"/>
      <c r="Z50" s="124"/>
    </row>
    <row r="51" spans="21:26">
      <c r="U51" s="124"/>
      <c r="W51" s="124"/>
      <c r="X51" s="124"/>
      <c r="Z51" s="124"/>
    </row>
    <row r="52" spans="21:26">
      <c r="U52" s="124"/>
      <c r="X52" s="124"/>
      <c r="Y52" s="124"/>
      <c r="Z52" s="124"/>
    </row>
    <row r="53" spans="21:26">
      <c r="U53" s="124"/>
      <c r="V53" s="124"/>
      <c r="W53" s="124"/>
      <c r="X53" s="124"/>
      <c r="Y53" s="124"/>
      <c r="Z53" s="124"/>
    </row>
    <row r="54" spans="21:26">
      <c r="U54" s="124"/>
      <c r="V54" s="124"/>
      <c r="W54" s="124"/>
      <c r="X54" s="124"/>
      <c r="Z54" s="124"/>
    </row>
    <row r="55" spans="21:26">
      <c r="U55" s="124"/>
      <c r="V55" s="124"/>
      <c r="W55" s="124"/>
      <c r="X55" s="124"/>
      <c r="Y55" s="124"/>
      <c r="Z55" s="124"/>
    </row>
    <row r="56" spans="21:26">
      <c r="W56" s="124"/>
      <c r="X56" s="124"/>
      <c r="Z56" s="124"/>
    </row>
    <row r="57" spans="21:26">
      <c r="U57" s="124"/>
      <c r="V57" s="124"/>
      <c r="W57" s="124"/>
      <c r="X57" s="124"/>
      <c r="Z57" s="124"/>
    </row>
    <row r="58" spans="21:26">
      <c r="U58" s="124"/>
      <c r="V58" s="124"/>
      <c r="W58" s="124"/>
      <c r="X58" s="124"/>
      <c r="Y58" s="124"/>
      <c r="Z58" s="124"/>
    </row>
    <row r="59" spans="21:26">
      <c r="U59" s="124"/>
      <c r="V59" s="124"/>
      <c r="W59" s="124"/>
      <c r="X59" s="124"/>
      <c r="Y59" s="124"/>
      <c r="Z59" s="124"/>
    </row>
    <row r="60" spans="21:26">
      <c r="U60" s="124"/>
      <c r="V60" s="124"/>
      <c r="X60" s="124"/>
      <c r="Y60" s="124"/>
      <c r="Z60" s="124"/>
    </row>
    <row r="61" spans="21:26">
      <c r="Y61" s="124"/>
      <c r="Z61" s="124"/>
    </row>
    <row r="62" spans="21:26">
      <c r="U62" s="124"/>
      <c r="V62" s="124"/>
      <c r="W62" s="124"/>
      <c r="X62" s="124"/>
      <c r="Y62" s="124"/>
      <c r="Z62" s="124"/>
    </row>
    <row r="65" spans="26:26">
      <c r="Z65" s="124"/>
    </row>
    <row r="67" spans="26:26">
      <c r="Z67" s="12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1B3B6-C9E7-49EA-BC49-71D4CCD57A8A}">
  <sheetPr>
    <tabColor rgb="FFFFC000"/>
  </sheetPr>
  <dimension ref="A1:AP67"/>
  <sheetViews>
    <sheetView zoomScale="90" zoomScaleNormal="90" workbookViewId="0">
      <pane xSplit="2" ySplit="3" topLeftCell="K4" activePane="bottomRight" state="frozen"/>
      <selection activeCell="L1" sqref="L1:L1048576"/>
      <selection pane="topRight" activeCell="L1" sqref="L1:L1048576"/>
      <selection pane="bottomLeft" activeCell="L1" sqref="L1:L1048576"/>
      <selection pane="bottomRight" activeCell="O7" sqref="O7"/>
    </sheetView>
  </sheetViews>
  <sheetFormatPr defaultRowHeight="14.5"/>
  <cols>
    <col min="1" max="1" width="44.25" customWidth="1"/>
    <col min="2" max="2" width="37.58203125" customWidth="1"/>
    <col min="3" max="11" width="11.33203125" customWidth="1"/>
    <col min="12" max="12" width="12" customWidth="1"/>
    <col min="13" max="16" width="11.33203125" customWidth="1"/>
  </cols>
  <sheetData>
    <row r="1" spans="1:42" s="1" customFormat="1" ht="15.5">
      <c r="A1" s="39" t="s">
        <v>613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266"/>
      <c r="M1" s="266"/>
      <c r="N1" s="266"/>
      <c r="O1" s="266"/>
      <c r="P1" s="266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K1" s="15"/>
      <c r="AL1" s="15"/>
      <c r="AM1" s="15"/>
      <c r="AN1" s="15"/>
      <c r="AO1" s="15"/>
      <c r="AP1" s="15"/>
    </row>
    <row r="2" spans="1:42" s="1" customFormat="1" ht="15.5">
      <c r="A2" s="39" t="s">
        <v>614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263" t="s">
        <v>694</v>
      </c>
      <c r="M2" s="262"/>
      <c r="N2" s="262"/>
      <c r="O2" s="262"/>
      <c r="P2" s="262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54"/>
      <c r="AK2" s="15"/>
      <c r="AL2" s="15"/>
      <c r="AM2" s="15"/>
      <c r="AN2" s="15"/>
      <c r="AO2" s="15"/>
      <c r="AP2" s="14"/>
    </row>
    <row r="3" spans="1:42" ht="24">
      <c r="A3" s="98" t="s">
        <v>395</v>
      </c>
      <c r="B3" s="98" t="s">
        <v>99</v>
      </c>
      <c r="C3" s="115"/>
      <c r="D3" s="115" t="s">
        <v>515</v>
      </c>
      <c r="E3" s="115" t="s">
        <v>523</v>
      </c>
      <c r="F3" s="115" t="s">
        <v>527</v>
      </c>
      <c r="G3" s="115" t="s">
        <v>533</v>
      </c>
      <c r="H3" s="115" t="s">
        <v>547</v>
      </c>
      <c r="I3" s="115" t="s">
        <v>648</v>
      </c>
      <c r="J3" s="115" t="s">
        <v>652</v>
      </c>
      <c r="K3" s="115" t="s">
        <v>661</v>
      </c>
      <c r="L3" s="115" t="s">
        <v>666</v>
      </c>
      <c r="M3" s="115" t="s">
        <v>672</v>
      </c>
      <c r="N3" s="115" t="s">
        <v>680</v>
      </c>
      <c r="O3" s="115" t="s">
        <v>685</v>
      </c>
      <c r="P3" s="115" t="s">
        <v>690</v>
      </c>
    </row>
    <row r="4" spans="1:42" s="1" customFormat="1" ht="12.5" thickBot="1">
      <c r="A4" s="211" t="s">
        <v>582</v>
      </c>
      <c r="B4" s="211" t="s">
        <v>592</v>
      </c>
      <c r="C4" s="218"/>
      <c r="D4" s="218">
        <f t="shared" ref="D4:D18" si="0">D23</f>
        <v>-59945</v>
      </c>
      <c r="E4" s="218">
        <f t="shared" ref="E4:G18" si="1">E23-D23</f>
        <v>-204318</v>
      </c>
      <c r="F4" s="218">
        <f t="shared" si="1"/>
        <v>-208999</v>
      </c>
      <c r="G4" s="218">
        <f>G23-F23</f>
        <v>-207796</v>
      </c>
      <c r="H4" s="218">
        <f>H23</f>
        <v>-94760</v>
      </c>
      <c r="I4" s="218">
        <f t="shared" ref="I4:K18" si="2">I23-H23</f>
        <v>-57637</v>
      </c>
      <c r="J4" s="218">
        <f>J23-I23</f>
        <v>-45169</v>
      </c>
      <c r="K4" s="218">
        <f>K23-J23</f>
        <v>-29293</v>
      </c>
      <c r="L4" s="264">
        <f>L23</f>
        <v>-1268</v>
      </c>
      <c r="M4" s="218">
        <f t="shared" ref="M4:O18" si="3">M23-L23</f>
        <v>-4997</v>
      </c>
      <c r="N4" s="218">
        <f>N23-M23</f>
        <v>-1848</v>
      </c>
      <c r="O4" s="218">
        <f>O23-N23</f>
        <v>-1294</v>
      </c>
      <c r="P4" s="218">
        <f>P23</f>
        <v>-1312</v>
      </c>
    </row>
    <row r="5" spans="1:42" s="1" customFormat="1" ht="12.5" thickBot="1">
      <c r="A5" s="211" t="s">
        <v>1</v>
      </c>
      <c r="B5" s="211" t="s">
        <v>593</v>
      </c>
      <c r="C5" s="218"/>
      <c r="D5" s="218">
        <f t="shared" si="0"/>
        <v>-8240</v>
      </c>
      <c r="E5" s="218">
        <f t="shared" si="1"/>
        <v>-8996</v>
      </c>
      <c r="F5" s="218">
        <f t="shared" si="1"/>
        <v>18200</v>
      </c>
      <c r="G5" s="218">
        <f t="shared" si="1"/>
        <v>-923</v>
      </c>
      <c r="H5" s="218">
        <f t="shared" ref="H5:H18" si="4">H24</f>
        <v>1090</v>
      </c>
      <c r="I5" s="218">
        <f t="shared" si="2"/>
        <v>660</v>
      </c>
      <c r="J5" s="218">
        <f t="shared" si="2"/>
        <v>969</v>
      </c>
      <c r="K5" s="218">
        <f t="shared" si="2"/>
        <v>1738</v>
      </c>
      <c r="L5" s="264">
        <f t="shared" ref="L5:L18" si="5">L24</f>
        <v>2021</v>
      </c>
      <c r="M5" s="218">
        <f t="shared" si="3"/>
        <v>185</v>
      </c>
      <c r="N5" s="218">
        <f t="shared" si="3"/>
        <v>1060</v>
      </c>
      <c r="O5" s="218">
        <f t="shared" si="3"/>
        <v>-325</v>
      </c>
      <c r="P5" s="218">
        <f t="shared" ref="P5:P18" si="6">P24</f>
        <v>1455</v>
      </c>
    </row>
    <row r="6" spans="1:42" s="1" customFormat="1" ht="24.5" thickBot="1">
      <c r="A6" s="211" t="s">
        <v>583</v>
      </c>
      <c r="B6" s="211" t="s">
        <v>598</v>
      </c>
      <c r="C6" s="218"/>
      <c r="D6" s="218">
        <f t="shared" si="0"/>
        <v>-2977</v>
      </c>
      <c r="E6" s="218">
        <f t="shared" si="1"/>
        <v>-15913</v>
      </c>
      <c r="F6" s="218">
        <f t="shared" si="1"/>
        <v>26193</v>
      </c>
      <c r="G6" s="218">
        <f t="shared" si="1"/>
        <v>-72263</v>
      </c>
      <c r="H6" s="218">
        <f t="shared" si="4"/>
        <v>541299</v>
      </c>
      <c r="I6" s="218">
        <f t="shared" si="2"/>
        <v>-10188</v>
      </c>
      <c r="J6" s="218">
        <f t="shared" si="2"/>
        <v>-4900</v>
      </c>
      <c r="K6" s="218">
        <f t="shared" si="2"/>
        <v>45486</v>
      </c>
      <c r="L6" s="264">
        <f t="shared" si="5"/>
        <v>537</v>
      </c>
      <c r="M6" s="218">
        <f t="shared" si="3"/>
        <v>3570</v>
      </c>
      <c r="N6" s="218">
        <f t="shared" si="3"/>
        <v>4581</v>
      </c>
      <c r="O6" s="218">
        <f t="shared" si="3"/>
        <v>-7236</v>
      </c>
      <c r="P6" s="218">
        <f t="shared" si="6"/>
        <v>57057</v>
      </c>
    </row>
    <row r="7" spans="1:42" s="1" customFormat="1" ht="36.5" thickBot="1">
      <c r="A7" s="211" t="s">
        <v>584</v>
      </c>
      <c r="B7" s="211" t="s">
        <v>602</v>
      </c>
      <c r="C7" s="218"/>
      <c r="D7" s="218">
        <f t="shared" si="0"/>
        <v>8745</v>
      </c>
      <c r="E7" s="218">
        <f t="shared" si="1"/>
        <v>-11975</v>
      </c>
      <c r="F7" s="218">
        <f t="shared" si="1"/>
        <v>627</v>
      </c>
      <c r="G7" s="218">
        <f t="shared" si="1"/>
        <v>15796</v>
      </c>
      <c r="H7" s="218">
        <f t="shared" si="4"/>
        <v>8572</v>
      </c>
      <c r="I7" s="218">
        <f t="shared" si="2"/>
        <v>936</v>
      </c>
      <c r="J7" s="218">
        <f t="shared" si="2"/>
        <v>2362</v>
      </c>
      <c r="K7" s="218">
        <f t="shared" si="2"/>
        <v>1447</v>
      </c>
      <c r="L7" s="218">
        <f t="shared" si="5"/>
        <v>7011</v>
      </c>
      <c r="M7" s="218">
        <f t="shared" si="3"/>
        <v>-4800</v>
      </c>
      <c r="N7" s="218">
        <f t="shared" si="3"/>
        <v>4487</v>
      </c>
      <c r="O7" s="218">
        <f t="shared" si="3"/>
        <v>11691</v>
      </c>
      <c r="P7" s="218">
        <f t="shared" si="6"/>
        <v>2323</v>
      </c>
    </row>
    <row r="8" spans="1:42" s="1" customFormat="1" ht="12.5" thickBot="1">
      <c r="A8" s="211" t="s">
        <v>585</v>
      </c>
      <c r="B8" s="211" t="s">
        <v>599</v>
      </c>
      <c r="C8" s="219"/>
      <c r="D8" s="218">
        <f t="shared" si="0"/>
        <v>2876</v>
      </c>
      <c r="E8" s="218">
        <f t="shared" si="1"/>
        <v>8417</v>
      </c>
      <c r="F8" s="218">
        <f t="shared" si="1"/>
        <v>-9688</v>
      </c>
      <c r="G8" s="218">
        <f t="shared" si="1"/>
        <v>2694</v>
      </c>
      <c r="H8" s="218">
        <f t="shared" si="4"/>
        <v>50745</v>
      </c>
      <c r="I8" s="218">
        <f t="shared" si="2"/>
        <v>604</v>
      </c>
      <c r="J8" s="218">
        <f t="shared" si="2"/>
        <v>-10874</v>
      </c>
      <c r="K8" s="218">
        <f t="shared" si="2"/>
        <v>32263</v>
      </c>
      <c r="L8" s="218">
        <f t="shared" si="5"/>
        <v>439</v>
      </c>
      <c r="M8" s="218">
        <f t="shared" si="3"/>
        <v>17445</v>
      </c>
      <c r="N8" s="218">
        <f t="shared" si="3"/>
        <v>14594</v>
      </c>
      <c r="O8" s="218">
        <f t="shared" si="3"/>
        <v>13863</v>
      </c>
      <c r="P8" s="218">
        <f t="shared" si="6"/>
        <v>-7434</v>
      </c>
    </row>
    <row r="9" spans="1:42" s="1" customFormat="1" ht="12.5" thickBot="1">
      <c r="A9" s="212" t="s">
        <v>249</v>
      </c>
      <c r="B9" s="212" t="s">
        <v>603</v>
      </c>
      <c r="C9" s="220"/>
      <c r="D9" s="221">
        <f t="shared" si="0"/>
        <v>-59541</v>
      </c>
      <c r="E9" s="221">
        <f t="shared" si="1"/>
        <v>-232785</v>
      </c>
      <c r="F9" s="221">
        <f t="shared" si="1"/>
        <v>-173667</v>
      </c>
      <c r="G9" s="221">
        <f t="shared" si="1"/>
        <v>-262492</v>
      </c>
      <c r="H9" s="221">
        <f t="shared" si="4"/>
        <v>506946</v>
      </c>
      <c r="I9" s="221">
        <f t="shared" si="2"/>
        <v>-65625</v>
      </c>
      <c r="J9" s="221">
        <f t="shared" si="2"/>
        <v>-57612</v>
      </c>
      <c r="K9" s="221">
        <f t="shared" si="2"/>
        <v>51641</v>
      </c>
      <c r="L9" s="264">
        <f t="shared" si="5"/>
        <v>8740</v>
      </c>
      <c r="M9" s="221">
        <f t="shared" si="3"/>
        <v>11403</v>
      </c>
      <c r="N9" s="221">
        <f t="shared" si="3"/>
        <v>22874</v>
      </c>
      <c r="O9" s="221">
        <f t="shared" si="3"/>
        <v>16699</v>
      </c>
      <c r="P9" s="221">
        <f t="shared" si="6"/>
        <v>52089</v>
      </c>
    </row>
    <row r="10" spans="1:42" s="1" customFormat="1" ht="12.5" thickBot="1">
      <c r="A10" s="211" t="s">
        <v>53</v>
      </c>
      <c r="B10" s="211" t="s">
        <v>604</v>
      </c>
      <c r="C10" s="219"/>
      <c r="D10" s="218">
        <f t="shared" si="0"/>
        <v>-8090</v>
      </c>
      <c r="E10" s="218">
        <f t="shared" si="1"/>
        <v>-8884</v>
      </c>
      <c r="F10" s="218">
        <f t="shared" si="1"/>
        <v>-6930</v>
      </c>
      <c r="G10" s="218">
        <f t="shared" si="1"/>
        <v>-5883</v>
      </c>
      <c r="H10" s="218">
        <f t="shared" si="4"/>
        <v>-6391</v>
      </c>
      <c r="I10" s="218">
        <f t="shared" si="2"/>
        <v>-6487</v>
      </c>
      <c r="J10" s="218">
        <f t="shared" si="2"/>
        <v>-6674</v>
      </c>
      <c r="K10" s="218">
        <f t="shared" si="2"/>
        <v>-6784</v>
      </c>
      <c r="L10" s="218">
        <f t="shared" si="5"/>
        <v>-7487</v>
      </c>
      <c r="M10" s="218">
        <f t="shared" si="3"/>
        <v>-7224</v>
      </c>
      <c r="N10" s="218">
        <f t="shared" si="3"/>
        <v>-7432</v>
      </c>
      <c r="O10" s="218">
        <f t="shared" si="3"/>
        <v>-7163</v>
      </c>
      <c r="P10" s="218">
        <f t="shared" si="6"/>
        <v>-8292</v>
      </c>
    </row>
    <row r="11" spans="1:42" s="1" customFormat="1" ht="12.5" thickBot="1">
      <c r="A11" s="211" t="s">
        <v>586</v>
      </c>
      <c r="B11" s="211" t="s">
        <v>594</v>
      </c>
      <c r="C11" s="219"/>
      <c r="D11" s="218">
        <f t="shared" si="0"/>
        <v>-55251</v>
      </c>
      <c r="E11" s="218">
        <f t="shared" si="1"/>
        <v>-41472</v>
      </c>
      <c r="F11" s="218">
        <f t="shared" si="1"/>
        <v>-8503</v>
      </c>
      <c r="G11" s="218">
        <f t="shared" si="1"/>
        <v>-6192</v>
      </c>
      <c r="H11" s="218">
        <f t="shared" si="4"/>
        <v>-90543</v>
      </c>
      <c r="I11" s="218">
        <f t="shared" si="2"/>
        <v>15598</v>
      </c>
      <c r="J11" s="218">
        <f t="shared" si="2"/>
        <v>-7858</v>
      </c>
      <c r="K11" s="218">
        <f t="shared" si="2"/>
        <v>-7391</v>
      </c>
      <c r="L11" s="218">
        <f t="shared" si="5"/>
        <v>-70912</v>
      </c>
      <c r="M11" s="218">
        <f t="shared" si="3"/>
        <v>-6127</v>
      </c>
      <c r="N11" s="218">
        <f t="shared" si="3"/>
        <v>-7801</v>
      </c>
      <c r="O11" s="218">
        <f t="shared" si="3"/>
        <v>-8157</v>
      </c>
      <c r="P11" s="218">
        <f t="shared" si="6"/>
        <v>-84604</v>
      </c>
    </row>
    <row r="12" spans="1:42" s="1" customFormat="1" ht="12.5" thickBot="1">
      <c r="A12" s="211" t="s">
        <v>600</v>
      </c>
      <c r="B12" s="211" t="s">
        <v>608</v>
      </c>
      <c r="C12" s="222"/>
      <c r="D12" s="223">
        <f t="shared" si="0"/>
        <v>-48605</v>
      </c>
      <c r="E12" s="223">
        <f t="shared" si="1"/>
        <v>-34825</v>
      </c>
      <c r="F12" s="223">
        <f t="shared" si="1"/>
        <v>0</v>
      </c>
      <c r="G12" s="223">
        <f t="shared" si="1"/>
        <v>0</v>
      </c>
      <c r="H12" s="223">
        <f t="shared" si="4"/>
        <v>-83434</v>
      </c>
      <c r="I12" s="223">
        <f t="shared" si="2"/>
        <v>23395</v>
      </c>
      <c r="J12" s="223">
        <f t="shared" si="2"/>
        <v>0</v>
      </c>
      <c r="K12" s="223">
        <f t="shared" si="2"/>
        <v>0</v>
      </c>
      <c r="L12" s="223">
        <f t="shared" si="5"/>
        <v>-60906</v>
      </c>
      <c r="M12" s="223">
        <f t="shared" si="3"/>
        <v>56</v>
      </c>
      <c r="N12" s="223">
        <f t="shared" si="3"/>
        <v>0</v>
      </c>
      <c r="O12" s="223">
        <f t="shared" si="3"/>
        <v>0</v>
      </c>
      <c r="P12" s="223">
        <f t="shared" si="6"/>
        <v>-76007</v>
      </c>
    </row>
    <row r="13" spans="1:42" s="1" customFormat="1" ht="12.5" thickBot="1">
      <c r="A13" s="211" t="s">
        <v>587</v>
      </c>
      <c r="B13" s="211" t="s">
        <v>208</v>
      </c>
      <c r="C13" s="219"/>
      <c r="D13" s="218">
        <f t="shared" si="0"/>
        <v>-1264</v>
      </c>
      <c r="E13" s="218">
        <f t="shared" si="1"/>
        <v>-1253</v>
      </c>
      <c r="F13" s="218">
        <f t="shared" si="1"/>
        <v>-1053</v>
      </c>
      <c r="G13" s="218">
        <f t="shared" si="1"/>
        <v>-959</v>
      </c>
      <c r="H13" s="218">
        <f t="shared" si="4"/>
        <v>-954</v>
      </c>
      <c r="I13" s="218">
        <f t="shared" si="2"/>
        <v>-977</v>
      </c>
      <c r="J13" s="218">
        <f t="shared" si="2"/>
        <v>-1002</v>
      </c>
      <c r="K13" s="218">
        <f t="shared" si="2"/>
        <v>-1025</v>
      </c>
      <c r="L13" s="218">
        <f t="shared" si="5"/>
        <v>-1037</v>
      </c>
      <c r="M13" s="218">
        <f t="shared" si="3"/>
        <v>-1026</v>
      </c>
      <c r="N13" s="218">
        <f t="shared" si="3"/>
        <v>-1023</v>
      </c>
      <c r="O13" s="218">
        <f t="shared" si="3"/>
        <v>-1059</v>
      </c>
      <c r="P13" s="218">
        <f t="shared" si="6"/>
        <v>-1040</v>
      </c>
    </row>
    <row r="14" spans="1:42" s="1" customFormat="1" ht="12.5" thickBot="1">
      <c r="A14" s="212" t="s">
        <v>588</v>
      </c>
      <c r="B14" s="212" t="s">
        <v>605</v>
      </c>
      <c r="C14" s="224"/>
      <c r="D14" s="221">
        <f t="shared" si="0"/>
        <v>-64605</v>
      </c>
      <c r="E14" s="221">
        <f t="shared" si="1"/>
        <v>-51609</v>
      </c>
      <c r="F14" s="221">
        <f t="shared" si="1"/>
        <v>-16486</v>
      </c>
      <c r="G14" s="221">
        <f t="shared" si="1"/>
        <v>-13034</v>
      </c>
      <c r="H14" s="221">
        <f t="shared" si="4"/>
        <v>-97888</v>
      </c>
      <c r="I14" s="221">
        <f t="shared" si="2"/>
        <v>8134</v>
      </c>
      <c r="J14" s="221">
        <f t="shared" si="2"/>
        <v>-15534</v>
      </c>
      <c r="K14" s="221">
        <f t="shared" si="2"/>
        <v>-15200</v>
      </c>
      <c r="L14" s="221">
        <f t="shared" si="5"/>
        <v>-79436</v>
      </c>
      <c r="M14" s="221">
        <f t="shared" si="3"/>
        <v>-14377</v>
      </c>
      <c r="N14" s="221">
        <f t="shared" si="3"/>
        <v>-16256</v>
      </c>
      <c r="O14" s="221">
        <f t="shared" si="3"/>
        <v>-16379</v>
      </c>
      <c r="P14" s="221">
        <f t="shared" si="6"/>
        <v>-93936</v>
      </c>
    </row>
    <row r="15" spans="1:42" s="1" customFormat="1" ht="12.5" thickBot="1">
      <c r="A15" s="211" t="s">
        <v>589</v>
      </c>
      <c r="B15" s="211" t="s">
        <v>595</v>
      </c>
      <c r="C15" s="219"/>
      <c r="D15" s="218">
        <f t="shared" si="0"/>
        <v>-2623</v>
      </c>
      <c r="E15" s="218">
        <f t="shared" si="1"/>
        <v>-346</v>
      </c>
      <c r="F15" s="218">
        <f t="shared" si="1"/>
        <v>224</v>
      </c>
      <c r="G15" s="218">
        <f t="shared" si="1"/>
        <v>-769</v>
      </c>
      <c r="H15" s="218">
        <f t="shared" si="4"/>
        <v>1733</v>
      </c>
      <c r="I15" s="218">
        <f t="shared" si="2"/>
        <v>-1502</v>
      </c>
      <c r="J15" s="218">
        <f t="shared" si="2"/>
        <v>-284</v>
      </c>
      <c r="K15" s="218">
        <f t="shared" si="2"/>
        <v>-31</v>
      </c>
      <c r="L15" s="218">
        <f t="shared" si="5"/>
        <v>-1885</v>
      </c>
      <c r="M15" s="218">
        <f t="shared" si="3"/>
        <v>-211</v>
      </c>
      <c r="N15" s="218">
        <f t="shared" si="3"/>
        <v>-2257</v>
      </c>
      <c r="O15" s="218">
        <f t="shared" si="3"/>
        <v>79</v>
      </c>
      <c r="P15" s="218">
        <f t="shared" si="6"/>
        <v>-960</v>
      </c>
    </row>
    <row r="16" spans="1:42" s="1" customFormat="1" ht="12.5" thickBot="1">
      <c r="A16" s="211" t="s">
        <v>590</v>
      </c>
      <c r="B16" s="211" t="s">
        <v>210</v>
      </c>
      <c r="C16" s="219"/>
      <c r="D16" s="218">
        <f t="shared" si="0"/>
        <v>0</v>
      </c>
      <c r="E16" s="218">
        <f t="shared" si="1"/>
        <v>0</v>
      </c>
      <c r="F16" s="218">
        <f t="shared" si="1"/>
        <v>0</v>
      </c>
      <c r="G16" s="218">
        <f t="shared" si="1"/>
        <v>0</v>
      </c>
      <c r="H16" s="218">
        <f t="shared" si="4"/>
        <v>0</v>
      </c>
      <c r="I16" s="218">
        <f t="shared" si="2"/>
        <v>0</v>
      </c>
      <c r="J16" s="218">
        <f t="shared" si="2"/>
        <v>0</v>
      </c>
      <c r="K16" s="218">
        <f t="shared" si="2"/>
        <v>0</v>
      </c>
      <c r="L16" s="218">
        <f t="shared" si="5"/>
        <v>0</v>
      </c>
      <c r="M16" s="218">
        <f t="shared" si="3"/>
        <v>0</v>
      </c>
      <c r="N16" s="218">
        <f t="shared" si="3"/>
        <v>0</v>
      </c>
      <c r="O16" s="218">
        <f t="shared" si="3"/>
        <v>0</v>
      </c>
      <c r="P16" s="218">
        <f t="shared" si="6"/>
        <v>0</v>
      </c>
    </row>
    <row r="17" spans="1:42" s="1" customFormat="1" ht="24.5" thickBot="1">
      <c r="A17" s="211" t="s">
        <v>601</v>
      </c>
      <c r="B17" s="211" t="s">
        <v>596</v>
      </c>
      <c r="C17" s="218"/>
      <c r="D17" s="218">
        <f t="shared" si="0"/>
        <v>0</v>
      </c>
      <c r="E17" s="218">
        <f t="shared" si="1"/>
        <v>0</v>
      </c>
      <c r="F17" s="218">
        <f t="shared" si="1"/>
        <v>0</v>
      </c>
      <c r="G17" s="218">
        <f t="shared" si="1"/>
        <v>0</v>
      </c>
      <c r="H17" s="218">
        <f t="shared" si="4"/>
        <v>0</v>
      </c>
      <c r="I17" s="218">
        <f t="shared" si="2"/>
        <v>0</v>
      </c>
      <c r="J17" s="218">
        <f t="shared" si="2"/>
        <v>0</v>
      </c>
      <c r="K17" s="218">
        <f>K36-J36</f>
        <v>0</v>
      </c>
      <c r="L17" s="218">
        <f t="shared" si="5"/>
        <v>0</v>
      </c>
      <c r="M17" s="218">
        <f t="shared" si="3"/>
        <v>0</v>
      </c>
      <c r="N17" s="218">
        <f t="shared" si="3"/>
        <v>0</v>
      </c>
      <c r="O17" s="218">
        <f t="shared" si="3"/>
        <v>0</v>
      </c>
      <c r="P17" s="218">
        <f t="shared" si="6"/>
        <v>0</v>
      </c>
    </row>
    <row r="18" spans="1:42" s="1" customFormat="1" ht="12.5" thickBot="1">
      <c r="A18" s="213" t="s">
        <v>591</v>
      </c>
      <c r="B18" s="213" t="s">
        <v>597</v>
      </c>
      <c r="C18" s="225"/>
      <c r="D18" s="226">
        <f t="shared" si="0"/>
        <v>-126769</v>
      </c>
      <c r="E18" s="226">
        <f t="shared" si="1"/>
        <v>-284740</v>
      </c>
      <c r="F18" s="226">
        <f t="shared" si="1"/>
        <v>-189929</v>
      </c>
      <c r="G18" s="226">
        <f t="shared" si="1"/>
        <v>-276295</v>
      </c>
      <c r="H18" s="226">
        <f t="shared" si="4"/>
        <v>410791</v>
      </c>
      <c r="I18" s="226">
        <f t="shared" si="2"/>
        <v>-58993</v>
      </c>
      <c r="J18" s="226">
        <f t="shared" si="2"/>
        <v>-73430</v>
      </c>
      <c r="K18" s="226">
        <f t="shared" si="2"/>
        <v>36410</v>
      </c>
      <c r="L18" s="265">
        <f t="shared" si="5"/>
        <v>-72581</v>
      </c>
      <c r="M18" s="226">
        <f t="shared" si="3"/>
        <v>-3185</v>
      </c>
      <c r="N18" s="226">
        <f t="shared" si="3"/>
        <v>4361</v>
      </c>
      <c r="O18" s="226">
        <f t="shared" si="3"/>
        <v>399</v>
      </c>
      <c r="P18" s="226">
        <f t="shared" si="6"/>
        <v>-42807</v>
      </c>
    </row>
    <row r="20" spans="1:42" s="1" customFormat="1" ht="15.5">
      <c r="A20" s="39" t="s">
        <v>682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K20" s="15"/>
      <c r="AL20" s="15"/>
      <c r="AM20" s="15"/>
      <c r="AN20" s="15"/>
      <c r="AO20" s="15"/>
      <c r="AP20" s="15"/>
    </row>
    <row r="21" spans="1:42" s="1" customFormat="1" ht="15.5">
      <c r="A21" s="39" t="s">
        <v>683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54"/>
      <c r="AK21" s="15"/>
      <c r="AL21" s="15"/>
      <c r="AM21" s="15"/>
      <c r="AN21" s="15"/>
      <c r="AO21" s="15"/>
      <c r="AP21" s="14"/>
    </row>
    <row r="22" spans="1:42" ht="24">
      <c r="A22" s="98" t="s">
        <v>395</v>
      </c>
      <c r="B22" s="98" t="s">
        <v>99</v>
      </c>
      <c r="C22" s="115" t="s">
        <v>511</v>
      </c>
      <c r="D22" s="115" t="s">
        <v>515</v>
      </c>
      <c r="E22" s="115" t="s">
        <v>522</v>
      </c>
      <c r="F22" s="115" t="s">
        <v>528</v>
      </c>
      <c r="G22" s="115" t="s">
        <v>532</v>
      </c>
      <c r="H22" s="115" t="s">
        <v>547</v>
      </c>
      <c r="I22" s="115" t="s">
        <v>647</v>
      </c>
      <c r="J22" s="115" t="s">
        <v>651</v>
      </c>
      <c r="K22" s="115" t="s">
        <v>662</v>
      </c>
      <c r="L22" s="115" t="s">
        <v>666</v>
      </c>
      <c r="M22" s="115" t="s">
        <v>673</v>
      </c>
      <c r="N22" s="115" t="s">
        <v>681</v>
      </c>
      <c r="O22" s="115" t="s">
        <v>686</v>
      </c>
      <c r="P22" s="115" t="s">
        <v>690</v>
      </c>
      <c r="S22" s="1"/>
      <c r="T22" s="1"/>
      <c r="U22" s="1"/>
      <c r="V22" s="1"/>
      <c r="W22" s="1"/>
      <c r="X22" s="1"/>
    </row>
    <row r="23" spans="1:42" s="1" customFormat="1" ht="12.5" thickBot="1">
      <c r="A23" s="211" t="s">
        <v>582</v>
      </c>
      <c r="B23" s="211" t="s">
        <v>592</v>
      </c>
      <c r="C23" s="218">
        <v>431001</v>
      </c>
      <c r="D23" s="218">
        <v>-59945</v>
      </c>
      <c r="E23" s="218">
        <v>-264263</v>
      </c>
      <c r="F23" s="218">
        <v>-473262</v>
      </c>
      <c r="G23" s="218">
        <v>-681058</v>
      </c>
      <c r="H23" s="218">
        <v>-94760</v>
      </c>
      <c r="I23" s="218">
        <v>-152397</v>
      </c>
      <c r="J23" s="218">
        <v>-197566</v>
      </c>
      <c r="K23" s="218">
        <v>-226859</v>
      </c>
      <c r="L23" s="264">
        <v>-1268</v>
      </c>
      <c r="M23" s="218">
        <v>-6265</v>
      </c>
      <c r="N23" s="218">
        <v>-8113</v>
      </c>
      <c r="O23" s="218">
        <v>-9407</v>
      </c>
      <c r="P23" s="218">
        <v>-1312</v>
      </c>
      <c r="Q23" s="14"/>
      <c r="R23" s="14"/>
      <c r="T23" s="14"/>
      <c r="U23" s="15"/>
      <c r="V23" s="15"/>
      <c r="W23" s="15"/>
      <c r="X23" s="15"/>
      <c r="Y23" s="15"/>
      <c r="Z23" s="15"/>
    </row>
    <row r="24" spans="1:42" s="1" customFormat="1" ht="12.5" thickBot="1">
      <c r="A24" s="211" t="s">
        <v>1</v>
      </c>
      <c r="B24" s="211" t="s">
        <v>593</v>
      </c>
      <c r="C24" s="218">
        <v>4215</v>
      </c>
      <c r="D24" s="218">
        <v>-8240</v>
      </c>
      <c r="E24" s="218">
        <v>-17236</v>
      </c>
      <c r="F24" s="218">
        <v>964</v>
      </c>
      <c r="G24" s="218">
        <v>41</v>
      </c>
      <c r="H24" s="218">
        <v>1090</v>
      </c>
      <c r="I24" s="218">
        <v>1750</v>
      </c>
      <c r="J24" s="218">
        <v>2719</v>
      </c>
      <c r="K24" s="218">
        <v>4457</v>
      </c>
      <c r="L24" s="264">
        <v>2021</v>
      </c>
      <c r="M24" s="218">
        <v>2206</v>
      </c>
      <c r="N24" s="218">
        <v>3266</v>
      </c>
      <c r="O24" s="218">
        <v>2941</v>
      </c>
      <c r="P24" s="218">
        <v>1455</v>
      </c>
      <c r="Q24" s="14"/>
      <c r="R24" s="14"/>
      <c r="T24" s="14"/>
      <c r="U24" s="15"/>
      <c r="V24" s="15"/>
      <c r="W24" s="15"/>
      <c r="X24" s="15"/>
      <c r="Y24" s="15"/>
      <c r="Z24" s="15"/>
    </row>
    <row r="25" spans="1:42" s="1" customFormat="1" ht="24.5" thickBot="1">
      <c r="A25" s="211" t="s">
        <v>583</v>
      </c>
      <c r="B25" s="211" t="s">
        <v>598</v>
      </c>
      <c r="C25" s="218">
        <v>28596</v>
      </c>
      <c r="D25" s="218">
        <v>-2977</v>
      </c>
      <c r="E25" s="218">
        <v>-18890</v>
      </c>
      <c r="F25" s="218">
        <v>7303</v>
      </c>
      <c r="G25" s="218">
        <v>-64960</v>
      </c>
      <c r="H25" s="218">
        <v>541299</v>
      </c>
      <c r="I25" s="218">
        <v>531111</v>
      </c>
      <c r="J25" s="218">
        <v>526211</v>
      </c>
      <c r="K25" s="218">
        <v>571697</v>
      </c>
      <c r="L25" s="264">
        <v>537</v>
      </c>
      <c r="M25" s="218">
        <v>4107</v>
      </c>
      <c r="N25" s="218">
        <v>8688</v>
      </c>
      <c r="O25" s="218">
        <v>1452</v>
      </c>
      <c r="P25" s="218">
        <v>57057</v>
      </c>
      <c r="Q25" s="14"/>
      <c r="R25" s="14"/>
      <c r="T25" s="14"/>
      <c r="U25" s="15"/>
      <c r="V25" s="15"/>
      <c r="W25" s="15"/>
      <c r="X25" s="15"/>
      <c r="Y25" s="15"/>
      <c r="Z25" s="15"/>
    </row>
    <row r="26" spans="1:42" s="1" customFormat="1" ht="36.5" thickBot="1">
      <c r="A26" s="211" t="s">
        <v>584</v>
      </c>
      <c r="B26" s="211" t="s">
        <v>602</v>
      </c>
      <c r="C26" s="218">
        <v>84657</v>
      </c>
      <c r="D26" s="218">
        <v>8745</v>
      </c>
      <c r="E26" s="218">
        <v>-3230</v>
      </c>
      <c r="F26" s="218">
        <v>-2603</v>
      </c>
      <c r="G26" s="218">
        <v>13193</v>
      </c>
      <c r="H26" s="218">
        <v>8572</v>
      </c>
      <c r="I26" s="218">
        <v>9508</v>
      </c>
      <c r="J26" s="218">
        <v>11870</v>
      </c>
      <c r="K26" s="218">
        <v>13317</v>
      </c>
      <c r="L26" s="218">
        <v>7011</v>
      </c>
      <c r="M26" s="218">
        <v>2211</v>
      </c>
      <c r="N26" s="218">
        <v>6698</v>
      </c>
      <c r="O26" s="218">
        <v>18389</v>
      </c>
      <c r="P26" s="218">
        <v>2323</v>
      </c>
      <c r="Q26" s="14"/>
      <c r="R26" s="14"/>
      <c r="T26" s="14"/>
      <c r="W26" s="15"/>
      <c r="X26" s="15"/>
      <c r="Z26" s="15"/>
    </row>
    <row r="27" spans="1:42" s="1" customFormat="1" ht="12.5" thickBot="1">
      <c r="A27" s="211" t="s">
        <v>585</v>
      </c>
      <c r="B27" s="211" t="s">
        <v>599</v>
      </c>
      <c r="C27" s="218">
        <v>-105813</v>
      </c>
      <c r="D27" s="218">
        <v>2876</v>
      </c>
      <c r="E27" s="218">
        <v>11293</v>
      </c>
      <c r="F27" s="218">
        <v>1605</v>
      </c>
      <c r="G27" s="218">
        <v>4299</v>
      </c>
      <c r="H27" s="218">
        <v>50745</v>
      </c>
      <c r="I27" s="218">
        <v>51349</v>
      </c>
      <c r="J27" s="218">
        <v>40475</v>
      </c>
      <c r="K27" s="218">
        <v>72738</v>
      </c>
      <c r="L27" s="218">
        <v>439</v>
      </c>
      <c r="M27" s="218">
        <v>17884</v>
      </c>
      <c r="N27" s="218">
        <v>32478</v>
      </c>
      <c r="O27" s="218">
        <v>46341</v>
      </c>
      <c r="P27" s="218">
        <v>-7434</v>
      </c>
      <c r="Q27" s="14"/>
      <c r="R27" s="14"/>
      <c r="T27" s="14"/>
      <c r="U27" s="15"/>
      <c r="V27" s="15"/>
      <c r="W27" s="15"/>
      <c r="X27" s="15"/>
      <c r="Y27" s="15"/>
      <c r="Z27" s="15"/>
    </row>
    <row r="28" spans="1:42" s="1" customFormat="1" ht="12.5" thickBot="1">
      <c r="A28" s="212" t="s">
        <v>249</v>
      </c>
      <c r="B28" s="212" t="s">
        <v>603</v>
      </c>
      <c r="C28" s="221">
        <v>442656</v>
      </c>
      <c r="D28" s="221">
        <v>-59541</v>
      </c>
      <c r="E28" s="221">
        <v>-292326</v>
      </c>
      <c r="F28" s="221">
        <v>-465993</v>
      </c>
      <c r="G28" s="221">
        <v>-728485</v>
      </c>
      <c r="H28" s="221">
        <v>506946</v>
      </c>
      <c r="I28" s="221">
        <v>441321</v>
      </c>
      <c r="J28" s="221">
        <v>383709</v>
      </c>
      <c r="K28" s="221">
        <f>SUM(K23:K27)</f>
        <v>435350</v>
      </c>
      <c r="L28" s="264">
        <f>SUM(L23:L27)</f>
        <v>8740</v>
      </c>
      <c r="M28" s="221">
        <f>SUM(M23:M27)</f>
        <v>20143</v>
      </c>
      <c r="N28" s="221">
        <f>+N23+N24+N25+N26+N27</f>
        <v>43017</v>
      </c>
      <c r="O28" s="221">
        <f>+O23+O24+O25+O26+O27</f>
        <v>59716</v>
      </c>
      <c r="P28" s="221">
        <f>+P23+P24+P25+P26+P27</f>
        <v>52089</v>
      </c>
      <c r="Q28" s="14"/>
      <c r="R28" s="14"/>
      <c r="T28" s="14"/>
      <c r="U28" s="15"/>
      <c r="V28" s="15"/>
      <c r="W28" s="15"/>
      <c r="X28" s="15"/>
      <c r="Y28" s="15"/>
      <c r="Z28" s="15"/>
    </row>
    <row r="29" spans="1:42" s="1" customFormat="1" ht="12.5" thickBot="1">
      <c r="A29" s="211" t="s">
        <v>53</v>
      </c>
      <c r="B29" s="211" t="s">
        <v>604</v>
      </c>
      <c r="C29" s="218">
        <v>-29891</v>
      </c>
      <c r="D29" s="218">
        <v>-8090</v>
      </c>
      <c r="E29" s="218">
        <v>-16974</v>
      </c>
      <c r="F29" s="218">
        <v>-23904</v>
      </c>
      <c r="G29" s="218">
        <v>-29787</v>
      </c>
      <c r="H29" s="218">
        <v>-6391</v>
      </c>
      <c r="I29" s="218">
        <v>-12878</v>
      </c>
      <c r="J29" s="218">
        <v>-19552</v>
      </c>
      <c r="K29" s="218">
        <v>-26336</v>
      </c>
      <c r="L29" s="218">
        <v>-7487</v>
      </c>
      <c r="M29" s="218">
        <v>-14711</v>
      </c>
      <c r="N29" s="218">
        <v>-22143</v>
      </c>
      <c r="O29" s="218">
        <v>-29306</v>
      </c>
      <c r="P29" s="218">
        <v>-8292</v>
      </c>
      <c r="Q29" s="14"/>
      <c r="R29" s="14"/>
      <c r="T29" s="14"/>
      <c r="U29" s="15"/>
      <c r="V29" s="15"/>
      <c r="W29" s="15"/>
      <c r="X29" s="15"/>
      <c r="Z29" s="15"/>
    </row>
    <row r="30" spans="1:42" s="1" customFormat="1" ht="12.5" thickBot="1">
      <c r="A30" s="211" t="s">
        <v>586</v>
      </c>
      <c r="B30" s="211" t="s">
        <v>594</v>
      </c>
      <c r="C30" s="218">
        <v>-76257</v>
      </c>
      <c r="D30" s="218">
        <v>-55251</v>
      </c>
      <c r="E30" s="218">
        <v>-96723</v>
      </c>
      <c r="F30" s="218">
        <v>-105226</v>
      </c>
      <c r="G30" s="218">
        <v>-111418</v>
      </c>
      <c r="H30" s="218">
        <v>-90543</v>
      </c>
      <c r="I30" s="218">
        <v>-74945</v>
      </c>
      <c r="J30" s="218">
        <v>-82803</v>
      </c>
      <c r="K30" s="218">
        <v>-90194</v>
      </c>
      <c r="L30" s="218">
        <v>-70912</v>
      </c>
      <c r="M30" s="218">
        <v>-77039</v>
      </c>
      <c r="N30" s="218">
        <v>-84840</v>
      </c>
      <c r="O30" s="218">
        <v>-92997</v>
      </c>
      <c r="P30" s="218">
        <v>-84604</v>
      </c>
      <c r="Q30" s="14"/>
      <c r="R30" s="14"/>
      <c r="T30" s="14"/>
      <c r="U30" s="15"/>
      <c r="V30" s="15"/>
      <c r="W30" s="15"/>
      <c r="X30" s="15"/>
      <c r="Y30" s="15"/>
      <c r="Z30" s="15"/>
    </row>
    <row r="31" spans="1:42" s="1" customFormat="1" ht="12.5" thickBot="1">
      <c r="A31" s="211" t="s">
        <v>600</v>
      </c>
      <c r="B31" s="211" t="s">
        <v>608</v>
      </c>
      <c r="C31" s="223">
        <v>-48640</v>
      </c>
      <c r="D31" s="223">
        <v>-48605</v>
      </c>
      <c r="E31" s="223">
        <v>-83430</v>
      </c>
      <c r="F31" s="223">
        <v>-83430</v>
      </c>
      <c r="G31" s="223">
        <v>-83430</v>
      </c>
      <c r="H31" s="223">
        <v>-83434</v>
      </c>
      <c r="I31" s="223">
        <v>-60039</v>
      </c>
      <c r="J31" s="223">
        <v>-60039</v>
      </c>
      <c r="K31" s="223">
        <v>-60039</v>
      </c>
      <c r="L31" s="223">
        <v>-60906</v>
      </c>
      <c r="M31" s="223">
        <v>-60850</v>
      </c>
      <c r="N31" s="223">
        <v>-60850</v>
      </c>
      <c r="O31" s="223">
        <v>-60850</v>
      </c>
      <c r="P31" s="223">
        <v>-76007</v>
      </c>
      <c r="Q31" s="14"/>
      <c r="R31" s="14"/>
      <c r="T31" s="14"/>
      <c r="U31" s="15"/>
      <c r="W31" s="15"/>
      <c r="X31" s="15"/>
      <c r="Z31" s="15"/>
    </row>
    <row r="32" spans="1:42" s="1" customFormat="1" ht="12.5" thickBot="1">
      <c r="A32" s="211" t="s">
        <v>587</v>
      </c>
      <c r="B32" s="211" t="s">
        <v>208</v>
      </c>
      <c r="C32" s="218">
        <v>-4715</v>
      </c>
      <c r="D32" s="218">
        <v>-1264</v>
      </c>
      <c r="E32" s="218">
        <v>-2517</v>
      </c>
      <c r="F32" s="218">
        <v>-3570</v>
      </c>
      <c r="G32" s="218">
        <v>-4529</v>
      </c>
      <c r="H32" s="218">
        <v>-954</v>
      </c>
      <c r="I32" s="218">
        <v>-1931</v>
      </c>
      <c r="J32" s="218">
        <v>-2933</v>
      </c>
      <c r="K32" s="218">
        <v>-3958</v>
      </c>
      <c r="L32" s="218">
        <v>-1037</v>
      </c>
      <c r="M32" s="218">
        <v>-2063</v>
      </c>
      <c r="N32" s="218">
        <v>-3086</v>
      </c>
      <c r="O32" s="218">
        <v>-4145</v>
      </c>
      <c r="P32" s="218">
        <v>-1040</v>
      </c>
      <c r="Q32" s="14"/>
      <c r="R32" s="14"/>
      <c r="T32" s="14"/>
      <c r="U32" s="15"/>
      <c r="V32" s="15"/>
      <c r="W32" s="15"/>
      <c r="X32" s="15"/>
      <c r="Z32" s="15"/>
    </row>
    <row r="33" spans="1:26" s="1" customFormat="1" ht="12.5" thickBot="1">
      <c r="A33" s="212" t="s">
        <v>588</v>
      </c>
      <c r="B33" s="212" t="s">
        <v>605</v>
      </c>
      <c r="C33" s="221">
        <v>-110863</v>
      </c>
      <c r="D33" s="221">
        <v>-64605</v>
      </c>
      <c r="E33" s="221">
        <v>-116214</v>
      </c>
      <c r="F33" s="221">
        <v>-132700</v>
      </c>
      <c r="G33" s="221">
        <v>-145734</v>
      </c>
      <c r="H33" s="221">
        <v>-97888</v>
      </c>
      <c r="I33" s="221">
        <v>-89754</v>
      </c>
      <c r="J33" s="221">
        <v>-105288</v>
      </c>
      <c r="K33" s="221">
        <f t="shared" ref="K33:P33" si="7">+K32+K30+K29</f>
        <v>-120488</v>
      </c>
      <c r="L33" s="221">
        <f t="shared" si="7"/>
        <v>-79436</v>
      </c>
      <c r="M33" s="221">
        <f t="shared" si="7"/>
        <v>-93813</v>
      </c>
      <c r="N33" s="221">
        <f t="shared" si="7"/>
        <v>-110069</v>
      </c>
      <c r="O33" s="221">
        <f t="shared" si="7"/>
        <v>-126448</v>
      </c>
      <c r="P33" s="221">
        <f t="shared" si="7"/>
        <v>-93936</v>
      </c>
      <c r="Q33" s="14"/>
      <c r="R33" s="14"/>
      <c r="T33" s="14"/>
      <c r="U33" s="15"/>
      <c r="V33" s="15"/>
      <c r="W33" s="15"/>
      <c r="X33" s="15"/>
      <c r="Y33" s="15"/>
      <c r="Z33" s="15"/>
    </row>
    <row r="34" spans="1:26" s="1" customFormat="1" ht="12.5" thickBot="1">
      <c r="A34" s="211" t="s">
        <v>589</v>
      </c>
      <c r="B34" s="211" t="s">
        <v>595</v>
      </c>
      <c r="C34" s="218">
        <v>-7671</v>
      </c>
      <c r="D34" s="218">
        <v>-2623</v>
      </c>
      <c r="E34" s="218">
        <v>-2969</v>
      </c>
      <c r="F34" s="218">
        <v>-2745</v>
      </c>
      <c r="G34" s="218">
        <v>-3514</v>
      </c>
      <c r="H34" s="218">
        <v>1733</v>
      </c>
      <c r="I34" s="218">
        <v>231</v>
      </c>
      <c r="J34" s="218">
        <v>-53</v>
      </c>
      <c r="K34" s="218">
        <v>-84</v>
      </c>
      <c r="L34" s="218">
        <v>-1885</v>
      </c>
      <c r="M34" s="218">
        <v>-2096</v>
      </c>
      <c r="N34" s="218">
        <v>-4353</v>
      </c>
      <c r="O34" s="218">
        <v>-4274</v>
      </c>
      <c r="P34" s="218">
        <v>-960</v>
      </c>
      <c r="Q34" s="14"/>
      <c r="R34" s="14"/>
      <c r="T34" s="14"/>
      <c r="U34" s="15"/>
      <c r="V34" s="15"/>
      <c r="W34" s="15"/>
      <c r="X34" s="15"/>
      <c r="Y34" s="15"/>
      <c r="Z34" s="15"/>
    </row>
    <row r="35" spans="1:26" s="1" customFormat="1" ht="12.5" thickBot="1">
      <c r="A35" s="211" t="s">
        <v>590</v>
      </c>
      <c r="B35" s="211" t="s">
        <v>210</v>
      </c>
      <c r="C35" s="218">
        <v>0</v>
      </c>
      <c r="D35" s="218">
        <v>0</v>
      </c>
      <c r="E35" s="218">
        <v>0</v>
      </c>
      <c r="F35" s="218">
        <v>0</v>
      </c>
      <c r="G35" s="218">
        <v>0</v>
      </c>
      <c r="H35" s="218">
        <v>0</v>
      </c>
      <c r="I35" s="218">
        <v>0</v>
      </c>
      <c r="J35" s="218">
        <v>0</v>
      </c>
      <c r="K35" s="218">
        <v>0</v>
      </c>
      <c r="L35" s="218">
        <v>0</v>
      </c>
      <c r="M35" s="218">
        <v>0</v>
      </c>
      <c r="N35" s="218">
        <v>0</v>
      </c>
      <c r="O35" s="218">
        <v>0</v>
      </c>
      <c r="P35" s="218">
        <v>0</v>
      </c>
      <c r="Q35" s="14"/>
      <c r="R35" s="14"/>
      <c r="T35" s="14"/>
      <c r="U35" s="15"/>
      <c r="V35" s="15"/>
      <c r="X35" s="15"/>
      <c r="Y35" s="15"/>
      <c r="Z35" s="15"/>
    </row>
    <row r="36" spans="1:26" s="1" customFormat="1" ht="24.5" thickBot="1">
      <c r="A36" s="211" t="s">
        <v>601</v>
      </c>
      <c r="B36" s="211" t="s">
        <v>596</v>
      </c>
      <c r="C36" s="218">
        <v>0</v>
      </c>
      <c r="D36" s="218">
        <v>0</v>
      </c>
      <c r="E36" s="218">
        <v>0</v>
      </c>
      <c r="F36" s="218">
        <v>0</v>
      </c>
      <c r="G36" s="218">
        <v>0</v>
      </c>
      <c r="H36" s="218">
        <v>0</v>
      </c>
      <c r="I36" s="218">
        <v>0</v>
      </c>
      <c r="J36" s="218">
        <v>0</v>
      </c>
      <c r="K36" s="218">
        <v>0</v>
      </c>
      <c r="L36" s="218">
        <v>0</v>
      </c>
      <c r="M36" s="218">
        <v>0</v>
      </c>
      <c r="N36" s="218">
        <v>0</v>
      </c>
      <c r="O36" s="218">
        <v>0</v>
      </c>
      <c r="P36" s="218">
        <v>0</v>
      </c>
      <c r="Q36" s="14"/>
      <c r="R36" s="14"/>
      <c r="T36" s="14"/>
      <c r="X36" s="15"/>
      <c r="Y36" s="15"/>
      <c r="Z36" s="15"/>
    </row>
    <row r="37" spans="1:26" s="1" customFormat="1" ht="12.5" thickBot="1">
      <c r="A37" s="213" t="s">
        <v>591</v>
      </c>
      <c r="B37" s="213" t="s">
        <v>597</v>
      </c>
      <c r="C37" s="226">
        <v>324122</v>
      </c>
      <c r="D37" s="226">
        <v>-126769</v>
      </c>
      <c r="E37" s="226">
        <v>-411509</v>
      </c>
      <c r="F37" s="226">
        <v>-601438</v>
      </c>
      <c r="G37" s="226">
        <v>-877733</v>
      </c>
      <c r="H37" s="226">
        <v>410791</v>
      </c>
      <c r="I37" s="226">
        <v>351798</v>
      </c>
      <c r="J37" s="226">
        <v>278368</v>
      </c>
      <c r="K37" s="226">
        <f>+K34+K35+K36+K33+K28</f>
        <v>314778</v>
      </c>
      <c r="L37" s="265">
        <f>+L34+L35+L36+L33+L28</f>
        <v>-72581</v>
      </c>
      <c r="M37" s="226">
        <f>+M34+M35+M36+M33+M28</f>
        <v>-75766</v>
      </c>
      <c r="N37" s="226">
        <f>+N28+N33+N34+N35+N36</f>
        <v>-71405</v>
      </c>
      <c r="O37" s="226">
        <f>+O28+O33+O34+O35+O36</f>
        <v>-71006</v>
      </c>
      <c r="P37" s="226">
        <f>+P28+P33+P34+P35+P36</f>
        <v>-42807</v>
      </c>
      <c r="Q37" s="14"/>
      <c r="R37" s="14"/>
      <c r="S37" s="253"/>
      <c r="T37" s="14"/>
      <c r="U37" s="254"/>
      <c r="V37" s="255"/>
      <c r="W37" s="254"/>
      <c r="X37" s="15"/>
      <c r="Y37" s="15"/>
      <c r="Z37" s="15"/>
    </row>
    <row r="39" spans="1:26">
      <c r="N39" s="69"/>
      <c r="O39" s="69"/>
      <c r="P39" s="69"/>
      <c r="T39" s="14"/>
      <c r="U39" s="243"/>
      <c r="V39" s="242"/>
      <c r="W39" s="243"/>
      <c r="Z39" s="124"/>
    </row>
    <row r="40" spans="1:26">
      <c r="T40" s="14"/>
      <c r="U40" s="245"/>
      <c r="V40" s="245"/>
      <c r="W40" s="246"/>
      <c r="Z40" s="124"/>
    </row>
    <row r="41" spans="1:26">
      <c r="T41" s="14"/>
      <c r="U41" s="254"/>
      <c r="V41" s="255"/>
      <c r="W41" s="254"/>
      <c r="X41" s="15"/>
      <c r="Z41" s="124"/>
    </row>
    <row r="42" spans="1:26">
      <c r="T42" s="14"/>
      <c r="U42" s="158"/>
      <c r="V42" s="158"/>
      <c r="W42" s="158"/>
      <c r="X42" s="158"/>
      <c r="Z42" s="124"/>
    </row>
    <row r="48" spans="1:26">
      <c r="U48" s="124"/>
      <c r="V48" s="124"/>
      <c r="W48" s="124"/>
      <c r="X48" s="124"/>
      <c r="Y48" s="124"/>
      <c r="Z48" s="124"/>
    </row>
    <row r="49" spans="21:26">
      <c r="U49" s="124"/>
      <c r="V49" s="124"/>
      <c r="W49" s="124"/>
      <c r="X49" s="124"/>
      <c r="Y49" s="124"/>
      <c r="Z49" s="124"/>
    </row>
    <row r="50" spans="21:26">
      <c r="U50" s="124"/>
      <c r="V50" s="124"/>
      <c r="X50" s="124"/>
      <c r="Y50" s="124"/>
      <c r="Z50" s="124"/>
    </row>
    <row r="51" spans="21:26">
      <c r="U51" s="124"/>
      <c r="W51" s="124"/>
      <c r="X51" s="124"/>
      <c r="Z51" s="124"/>
    </row>
    <row r="52" spans="21:26">
      <c r="U52" s="124"/>
      <c r="X52" s="124"/>
      <c r="Y52" s="124"/>
      <c r="Z52" s="124"/>
    </row>
    <row r="53" spans="21:26">
      <c r="U53" s="124"/>
      <c r="V53" s="124"/>
      <c r="W53" s="124"/>
      <c r="X53" s="124"/>
      <c r="Y53" s="124"/>
      <c r="Z53" s="124"/>
    </row>
    <row r="54" spans="21:26">
      <c r="U54" s="124"/>
      <c r="V54" s="124"/>
      <c r="W54" s="124"/>
      <c r="X54" s="124"/>
      <c r="Z54" s="124"/>
    </row>
    <row r="55" spans="21:26">
      <c r="U55" s="124"/>
      <c r="V55" s="124"/>
      <c r="W55" s="124"/>
      <c r="X55" s="124"/>
      <c r="Y55" s="124"/>
      <c r="Z55" s="124"/>
    </row>
    <row r="56" spans="21:26">
      <c r="W56" s="124"/>
      <c r="X56" s="124"/>
      <c r="Z56" s="124"/>
    </row>
    <row r="57" spans="21:26">
      <c r="U57" s="124"/>
      <c r="V57" s="124"/>
      <c r="W57" s="124"/>
      <c r="X57" s="124"/>
      <c r="Z57" s="124"/>
    </row>
    <row r="58" spans="21:26">
      <c r="U58" s="124"/>
      <c r="V58" s="124"/>
      <c r="W58" s="124"/>
      <c r="X58" s="124"/>
      <c r="Y58" s="124"/>
      <c r="Z58" s="124"/>
    </row>
    <row r="59" spans="21:26">
      <c r="U59" s="124"/>
      <c r="V59" s="124"/>
      <c r="W59" s="124"/>
      <c r="X59" s="124"/>
      <c r="Y59" s="124"/>
      <c r="Z59" s="124"/>
    </row>
    <row r="60" spans="21:26">
      <c r="U60" s="124"/>
      <c r="V60" s="124"/>
      <c r="X60" s="124"/>
      <c r="Y60" s="124"/>
      <c r="Z60" s="124"/>
    </row>
    <row r="61" spans="21:26">
      <c r="Y61" s="124"/>
      <c r="Z61" s="124"/>
    </row>
    <row r="62" spans="21:26">
      <c r="U62" s="124"/>
      <c r="V62" s="124"/>
      <c r="W62" s="124"/>
      <c r="X62" s="124"/>
      <c r="Y62" s="124"/>
      <c r="Z62" s="124"/>
    </row>
    <row r="65" spans="26:26">
      <c r="Z65" s="124"/>
    </row>
    <row r="67" spans="26:26">
      <c r="Z67" s="12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97A27-50B5-4D23-872B-0986B1F2703F}">
  <sheetPr>
    <tabColor rgb="FFFFC000"/>
  </sheetPr>
  <dimension ref="A1:AP67"/>
  <sheetViews>
    <sheetView zoomScale="90" zoomScaleNormal="90" workbookViewId="0">
      <pane xSplit="2" ySplit="3" topLeftCell="J4" activePane="bottomRight" state="frozen"/>
      <selection activeCell="L1" sqref="L1:L1048576"/>
      <selection pane="topRight" activeCell="L1" sqref="L1:L1048576"/>
      <selection pane="bottomLeft" activeCell="L1" sqref="L1:L1048576"/>
      <selection pane="bottomRight" activeCell="O1" sqref="O1:O2"/>
    </sheetView>
  </sheetViews>
  <sheetFormatPr defaultRowHeight="14.5"/>
  <cols>
    <col min="1" max="1" width="41.58203125" customWidth="1"/>
    <col min="2" max="2" width="38.75" customWidth="1"/>
    <col min="3" max="13" width="11.58203125" customWidth="1"/>
    <col min="14" max="15" width="11.33203125" customWidth="1"/>
    <col min="16" max="16" width="11" customWidth="1"/>
    <col min="26" max="26" width="10.58203125" bestFit="1" customWidth="1"/>
  </cols>
  <sheetData>
    <row r="1" spans="1:42" s="1" customFormat="1" ht="15.5">
      <c r="A1" s="39" t="s">
        <v>668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K1" s="15"/>
      <c r="AL1" s="15"/>
      <c r="AM1" s="15"/>
      <c r="AN1" s="15"/>
      <c r="AO1" s="15"/>
      <c r="AP1" s="15"/>
    </row>
    <row r="2" spans="1:42" s="1" customFormat="1" ht="15.5">
      <c r="A2" s="39" t="s">
        <v>615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54"/>
      <c r="AK2" s="15"/>
      <c r="AL2" s="15"/>
      <c r="AM2" s="15"/>
      <c r="AN2" s="15"/>
      <c r="AO2" s="15"/>
      <c r="AP2" s="14"/>
    </row>
    <row r="3" spans="1:42" ht="24">
      <c r="A3" s="98" t="s">
        <v>395</v>
      </c>
      <c r="B3" s="98" t="s">
        <v>99</v>
      </c>
      <c r="C3" s="115"/>
      <c r="D3" s="115" t="s">
        <v>515</v>
      </c>
      <c r="E3" s="115" t="s">
        <v>523</v>
      </c>
      <c r="F3" s="115" t="s">
        <v>527</v>
      </c>
      <c r="G3" s="115" t="s">
        <v>533</v>
      </c>
      <c r="H3" s="115" t="s">
        <v>547</v>
      </c>
      <c r="I3" s="115" t="s">
        <v>648</v>
      </c>
      <c r="J3" s="115" t="s">
        <v>652</v>
      </c>
      <c r="K3" s="115" t="s">
        <v>661</v>
      </c>
      <c r="L3" s="115" t="s">
        <v>666</v>
      </c>
      <c r="M3" s="115" t="s">
        <v>672</v>
      </c>
      <c r="N3" s="115" t="s">
        <v>680</v>
      </c>
      <c r="O3" s="115" t="s">
        <v>685</v>
      </c>
      <c r="P3" s="115" t="s">
        <v>690</v>
      </c>
    </row>
    <row r="4" spans="1:42" ht="15" thickBot="1">
      <c r="A4" s="211" t="s">
        <v>582</v>
      </c>
      <c r="B4" s="211" t="s">
        <v>592</v>
      </c>
      <c r="C4" s="218"/>
      <c r="D4" s="218">
        <f t="shared" ref="D4:D18" si="0">D23</f>
        <v>23722</v>
      </c>
      <c r="E4" s="218">
        <f t="shared" ref="E4:G18" si="1">E23-D23</f>
        <v>23793</v>
      </c>
      <c r="F4" s="218">
        <f t="shared" si="1"/>
        <v>23937</v>
      </c>
      <c r="G4" s="218">
        <f>G23-F23</f>
        <v>22187</v>
      </c>
      <c r="H4" s="218">
        <f>H23</f>
        <v>10343</v>
      </c>
      <c r="I4" s="218">
        <f t="shared" ref="I4:K18" si="2">I23-H23</f>
        <v>4582</v>
      </c>
      <c r="J4" s="218">
        <f>J23-I23</f>
        <v>5090</v>
      </c>
      <c r="K4" s="218">
        <f>K23-J23</f>
        <v>-510</v>
      </c>
      <c r="L4" s="218">
        <f>L23</f>
        <v>4351</v>
      </c>
      <c r="M4" s="218">
        <f t="shared" ref="M4:O18" si="3">M23-L23</f>
        <v>-3610</v>
      </c>
      <c r="N4" s="218">
        <f>N23-M23</f>
        <v>-3691</v>
      </c>
      <c r="O4" s="218">
        <f>O23-N23</f>
        <v>-4352</v>
      </c>
      <c r="P4" s="218">
        <f>P23</f>
        <v>-7273</v>
      </c>
      <c r="V4" s="256"/>
      <c r="W4" s="256"/>
      <c r="X4" s="256"/>
      <c r="Y4" s="256"/>
      <c r="Z4" s="69"/>
    </row>
    <row r="5" spans="1:42" ht="15" thickBot="1">
      <c r="A5" s="211" t="s">
        <v>1</v>
      </c>
      <c r="B5" s="211" t="s">
        <v>593</v>
      </c>
      <c r="C5" s="218"/>
      <c r="D5" s="218">
        <f t="shared" si="0"/>
        <v>3833</v>
      </c>
      <c r="E5" s="218">
        <f t="shared" si="1"/>
        <v>3600</v>
      </c>
      <c r="F5" s="218">
        <f t="shared" si="1"/>
        <v>3422</v>
      </c>
      <c r="G5" s="218">
        <f t="shared" si="1"/>
        <v>3230</v>
      </c>
      <c r="H5" s="218">
        <f t="shared" ref="H5:H18" si="4">H24</f>
        <v>3141</v>
      </c>
      <c r="I5" s="218">
        <f t="shared" si="2"/>
        <v>3031</v>
      </c>
      <c r="J5" s="218">
        <f t="shared" si="2"/>
        <v>2815</v>
      </c>
      <c r="K5" s="218">
        <f t="shared" si="2"/>
        <v>2621</v>
      </c>
      <c r="L5" s="218">
        <f t="shared" ref="L5:L18" si="5">L24</f>
        <v>2507</v>
      </c>
      <c r="M5" s="218">
        <f t="shared" si="3"/>
        <v>1328</v>
      </c>
      <c r="N5" s="218">
        <f t="shared" si="3"/>
        <v>1194</v>
      </c>
      <c r="O5" s="218">
        <f t="shared" si="3"/>
        <v>1104</v>
      </c>
      <c r="P5" s="218">
        <f t="shared" ref="P5:P18" si="6">P24</f>
        <v>1018</v>
      </c>
      <c r="V5" s="256"/>
      <c r="W5" s="256"/>
      <c r="X5" s="256"/>
      <c r="Y5" s="256"/>
      <c r="Z5" s="69"/>
    </row>
    <row r="6" spans="1:42" ht="24.5" thickBot="1">
      <c r="A6" s="211" t="s">
        <v>583</v>
      </c>
      <c r="B6" s="211" t="s">
        <v>598</v>
      </c>
      <c r="C6" s="218"/>
      <c r="D6" s="218">
        <f t="shared" si="0"/>
        <v>-119846</v>
      </c>
      <c r="E6" s="218">
        <f t="shared" si="1"/>
        <v>-108238</v>
      </c>
      <c r="F6" s="218">
        <f t="shared" si="1"/>
        <v>-143678</v>
      </c>
      <c r="G6" s="218">
        <f t="shared" si="1"/>
        <v>-8969</v>
      </c>
      <c r="H6" s="218">
        <f t="shared" si="4"/>
        <v>-53046</v>
      </c>
      <c r="I6" s="218">
        <f t="shared" si="2"/>
        <v>-60874</v>
      </c>
      <c r="J6" s="218">
        <f t="shared" si="2"/>
        <v>-81209</v>
      </c>
      <c r="K6" s="218">
        <f t="shared" si="2"/>
        <v>-78461</v>
      </c>
      <c r="L6" s="218">
        <f t="shared" si="5"/>
        <v>-96634</v>
      </c>
      <c r="M6" s="218">
        <f t="shared" si="3"/>
        <v>-102044</v>
      </c>
      <c r="N6" s="218">
        <f t="shared" si="3"/>
        <v>-90086</v>
      </c>
      <c r="O6" s="218">
        <f t="shared" si="3"/>
        <v>-117389</v>
      </c>
      <c r="P6" s="218">
        <f t="shared" si="6"/>
        <v>-69433</v>
      </c>
      <c r="V6" s="256"/>
      <c r="W6" s="256"/>
      <c r="X6" s="256"/>
      <c r="Y6" s="256"/>
      <c r="Z6" s="69"/>
    </row>
    <row r="7" spans="1:42" ht="36.5" thickBot="1">
      <c r="A7" s="211" t="s">
        <v>584</v>
      </c>
      <c r="B7" s="211" t="s">
        <v>602</v>
      </c>
      <c r="C7" s="218"/>
      <c r="D7" s="218">
        <f t="shared" si="0"/>
        <v>0</v>
      </c>
      <c r="E7" s="218">
        <f t="shared" si="1"/>
        <v>0</v>
      </c>
      <c r="F7" s="218">
        <f t="shared" si="1"/>
        <v>0</v>
      </c>
      <c r="G7" s="218">
        <f t="shared" si="1"/>
        <v>0</v>
      </c>
      <c r="H7" s="218">
        <f t="shared" si="4"/>
        <v>0</v>
      </c>
      <c r="I7" s="218">
        <f t="shared" si="2"/>
        <v>0</v>
      </c>
      <c r="J7" s="218">
        <f t="shared" si="2"/>
        <v>0</v>
      </c>
      <c r="K7" s="218">
        <f t="shared" si="2"/>
        <v>0</v>
      </c>
      <c r="L7" s="218">
        <f t="shared" si="5"/>
        <v>0</v>
      </c>
      <c r="M7" s="218">
        <f t="shared" si="3"/>
        <v>0</v>
      </c>
      <c r="N7" s="218">
        <f t="shared" si="3"/>
        <v>0</v>
      </c>
      <c r="O7" s="218">
        <f t="shared" si="3"/>
        <v>0</v>
      </c>
      <c r="P7" s="218">
        <f t="shared" si="6"/>
        <v>0</v>
      </c>
      <c r="V7" s="256"/>
      <c r="W7" s="256"/>
      <c r="X7" s="256"/>
      <c r="Y7" s="256"/>
      <c r="Z7" s="69"/>
    </row>
    <row r="8" spans="1:42" ht="15" thickBot="1">
      <c r="A8" s="211" t="s">
        <v>585</v>
      </c>
      <c r="B8" s="211" t="s">
        <v>599</v>
      </c>
      <c r="C8" s="219"/>
      <c r="D8" s="218">
        <f t="shared" si="0"/>
        <v>46082</v>
      </c>
      <c r="E8" s="218">
        <f t="shared" si="1"/>
        <v>22417</v>
      </c>
      <c r="F8" s="218">
        <f t="shared" si="1"/>
        <v>28509</v>
      </c>
      <c r="G8" s="218">
        <f t="shared" si="1"/>
        <v>-14017</v>
      </c>
      <c r="H8" s="218">
        <f t="shared" si="4"/>
        <v>2126</v>
      </c>
      <c r="I8" s="218">
        <f t="shared" si="2"/>
        <v>-3654</v>
      </c>
      <c r="J8" s="218">
        <f t="shared" si="2"/>
        <v>61200</v>
      </c>
      <c r="K8" s="218">
        <f t="shared" si="2"/>
        <v>38296</v>
      </c>
      <c r="L8" s="218">
        <f t="shared" si="5"/>
        <v>-90435</v>
      </c>
      <c r="M8" s="218">
        <f t="shared" si="3"/>
        <v>-22726</v>
      </c>
      <c r="N8" s="218">
        <f t="shared" si="3"/>
        <v>-12089</v>
      </c>
      <c r="O8" s="218">
        <f t="shared" si="3"/>
        <v>-61709</v>
      </c>
      <c r="P8" s="218">
        <f t="shared" si="6"/>
        <v>-13022</v>
      </c>
      <c r="V8" s="256"/>
      <c r="W8" s="256"/>
      <c r="X8" s="256"/>
      <c r="Y8" s="256"/>
      <c r="Z8" s="69"/>
    </row>
    <row r="9" spans="1:42" ht="15" thickBot="1">
      <c r="A9" s="212" t="s">
        <v>249</v>
      </c>
      <c r="B9" s="212" t="s">
        <v>603</v>
      </c>
      <c r="C9" s="220"/>
      <c r="D9" s="221">
        <f t="shared" si="0"/>
        <v>-46209</v>
      </c>
      <c r="E9" s="221">
        <f t="shared" si="1"/>
        <v>-58428</v>
      </c>
      <c r="F9" s="221">
        <f t="shared" si="1"/>
        <v>-87810</v>
      </c>
      <c r="G9" s="221">
        <f t="shared" si="1"/>
        <v>2431</v>
      </c>
      <c r="H9" s="221">
        <f t="shared" si="4"/>
        <v>-37436</v>
      </c>
      <c r="I9" s="221">
        <f t="shared" si="2"/>
        <v>-56915</v>
      </c>
      <c r="J9" s="221">
        <f t="shared" si="2"/>
        <v>-12104</v>
      </c>
      <c r="K9" s="221">
        <f t="shared" si="2"/>
        <v>-38054</v>
      </c>
      <c r="L9" s="221">
        <f t="shared" si="5"/>
        <v>-180211</v>
      </c>
      <c r="M9" s="221">
        <f t="shared" si="3"/>
        <v>-127052</v>
      </c>
      <c r="N9" s="221">
        <f t="shared" si="3"/>
        <v>-104672</v>
      </c>
      <c r="O9" s="221">
        <f t="shared" si="3"/>
        <v>-182346</v>
      </c>
      <c r="P9" s="221">
        <f t="shared" si="6"/>
        <v>-88710</v>
      </c>
      <c r="V9" s="256"/>
      <c r="W9" s="256"/>
      <c r="X9" s="256"/>
      <c r="Y9" s="256"/>
      <c r="Z9" s="69"/>
    </row>
    <row r="10" spans="1:42" ht="15" thickBot="1">
      <c r="A10" s="211" t="s">
        <v>53</v>
      </c>
      <c r="B10" s="211" t="s">
        <v>604</v>
      </c>
      <c r="C10" s="219"/>
      <c r="D10" s="218">
        <f t="shared" si="0"/>
        <v>0</v>
      </c>
      <c r="E10" s="218">
        <f t="shared" si="1"/>
        <v>0</v>
      </c>
      <c r="F10" s="218">
        <f t="shared" si="1"/>
        <v>0</v>
      </c>
      <c r="G10" s="218">
        <f t="shared" si="1"/>
        <v>0</v>
      </c>
      <c r="H10" s="218">
        <f t="shared" si="4"/>
        <v>0</v>
      </c>
      <c r="I10" s="218">
        <f t="shared" si="2"/>
        <v>0</v>
      </c>
      <c r="J10" s="218">
        <f t="shared" si="2"/>
        <v>0</v>
      </c>
      <c r="K10" s="218">
        <f t="shared" si="2"/>
        <v>0</v>
      </c>
      <c r="L10" s="218">
        <f t="shared" si="5"/>
        <v>0</v>
      </c>
      <c r="M10" s="218">
        <f t="shared" si="3"/>
        <v>0</v>
      </c>
      <c r="N10" s="218">
        <f t="shared" si="3"/>
        <v>0</v>
      </c>
      <c r="O10" s="218">
        <f t="shared" si="3"/>
        <v>0</v>
      </c>
      <c r="P10" s="218">
        <f t="shared" si="6"/>
        <v>0</v>
      </c>
      <c r="V10" s="256"/>
      <c r="W10" s="256"/>
      <c r="X10" s="256"/>
      <c r="Y10" s="256"/>
      <c r="Z10" s="69"/>
    </row>
    <row r="11" spans="1:42" ht="15" thickBot="1">
      <c r="A11" s="211" t="s">
        <v>586</v>
      </c>
      <c r="B11" s="211" t="s">
        <v>594</v>
      </c>
      <c r="C11" s="219"/>
      <c r="D11" s="218">
        <f t="shared" si="0"/>
        <v>-11884</v>
      </c>
      <c r="E11" s="218">
        <f t="shared" si="1"/>
        <v>-13599</v>
      </c>
      <c r="F11" s="218">
        <f t="shared" si="1"/>
        <v>-15899</v>
      </c>
      <c r="G11" s="218">
        <f t="shared" si="1"/>
        <v>-17206</v>
      </c>
      <c r="H11" s="218">
        <f t="shared" si="4"/>
        <v>-21281</v>
      </c>
      <c r="I11" s="218">
        <f t="shared" si="2"/>
        <v>-19401</v>
      </c>
      <c r="J11" s="218">
        <f t="shared" si="2"/>
        <v>-20297</v>
      </c>
      <c r="K11" s="218">
        <f t="shared" si="2"/>
        <v>-43039</v>
      </c>
      <c r="L11" s="218">
        <f t="shared" si="5"/>
        <v>-31761</v>
      </c>
      <c r="M11" s="218">
        <f t="shared" si="3"/>
        <v>-27683</v>
      </c>
      <c r="N11" s="218">
        <f t="shared" si="3"/>
        <v>-27120</v>
      </c>
      <c r="O11" s="218">
        <f t="shared" si="3"/>
        <v>-51305</v>
      </c>
      <c r="P11" s="218">
        <f t="shared" si="6"/>
        <v>-27477</v>
      </c>
      <c r="V11" s="256"/>
      <c r="W11" s="256"/>
      <c r="X11" s="256"/>
      <c r="Y11" s="256"/>
      <c r="Z11" s="69"/>
    </row>
    <row r="12" spans="1:42" ht="15" thickBot="1">
      <c r="A12" s="211" t="s">
        <v>600</v>
      </c>
      <c r="B12" s="211" t="s">
        <v>608</v>
      </c>
      <c r="C12" s="222"/>
      <c r="D12" s="223">
        <f t="shared" si="0"/>
        <v>0</v>
      </c>
      <c r="E12" s="223">
        <f t="shared" si="1"/>
        <v>0</v>
      </c>
      <c r="F12" s="223">
        <f t="shared" si="1"/>
        <v>0</v>
      </c>
      <c r="G12" s="223">
        <f t="shared" si="1"/>
        <v>0</v>
      </c>
      <c r="H12" s="223">
        <f t="shared" si="4"/>
        <v>0</v>
      </c>
      <c r="I12" s="223">
        <f t="shared" si="2"/>
        <v>0</v>
      </c>
      <c r="J12" s="223">
        <f t="shared" si="2"/>
        <v>0</v>
      </c>
      <c r="K12" s="223">
        <f t="shared" si="2"/>
        <v>0</v>
      </c>
      <c r="L12" s="223">
        <f t="shared" si="5"/>
        <v>0</v>
      </c>
      <c r="M12" s="223">
        <f t="shared" si="3"/>
        <v>0</v>
      </c>
      <c r="N12" s="223">
        <f t="shared" si="3"/>
        <v>0</v>
      </c>
      <c r="O12" s="223">
        <f t="shared" si="3"/>
        <v>0</v>
      </c>
      <c r="P12" s="223">
        <f t="shared" si="6"/>
        <v>0</v>
      </c>
      <c r="V12" s="256"/>
      <c r="W12" s="256"/>
      <c r="X12" s="256"/>
      <c r="Y12" s="256"/>
      <c r="Z12" s="69"/>
    </row>
    <row r="13" spans="1:42" ht="15" thickBot="1">
      <c r="A13" s="211" t="s">
        <v>587</v>
      </c>
      <c r="B13" s="211" t="s">
        <v>208</v>
      </c>
      <c r="C13" s="219"/>
      <c r="D13" s="218">
        <f t="shared" si="0"/>
        <v>0</v>
      </c>
      <c r="E13" s="218">
        <f t="shared" si="1"/>
        <v>0</v>
      </c>
      <c r="F13" s="218">
        <f t="shared" si="1"/>
        <v>0</v>
      </c>
      <c r="G13" s="218">
        <f t="shared" si="1"/>
        <v>0</v>
      </c>
      <c r="H13" s="218">
        <f t="shared" si="4"/>
        <v>0</v>
      </c>
      <c r="I13" s="218">
        <f t="shared" si="2"/>
        <v>0</v>
      </c>
      <c r="J13" s="218">
        <f t="shared" si="2"/>
        <v>0</v>
      </c>
      <c r="K13" s="218">
        <f t="shared" si="2"/>
        <v>0</v>
      </c>
      <c r="L13" s="218">
        <f t="shared" si="5"/>
        <v>0</v>
      </c>
      <c r="M13" s="218">
        <f t="shared" si="3"/>
        <v>0</v>
      </c>
      <c r="N13" s="218">
        <f t="shared" si="3"/>
        <v>0</v>
      </c>
      <c r="O13" s="218">
        <f t="shared" si="3"/>
        <v>0</v>
      </c>
      <c r="P13" s="218">
        <f t="shared" si="6"/>
        <v>0</v>
      </c>
      <c r="V13" s="256"/>
      <c r="W13" s="256"/>
      <c r="X13" s="256"/>
      <c r="Y13" s="256"/>
      <c r="Z13" s="69"/>
    </row>
    <row r="14" spans="1:42" ht="15" thickBot="1">
      <c r="A14" s="212" t="s">
        <v>588</v>
      </c>
      <c r="B14" s="212" t="s">
        <v>605</v>
      </c>
      <c r="C14" s="224"/>
      <c r="D14" s="221">
        <f t="shared" si="0"/>
        <v>-11884</v>
      </c>
      <c r="E14" s="221">
        <f t="shared" si="1"/>
        <v>-13599</v>
      </c>
      <c r="F14" s="221">
        <f t="shared" si="1"/>
        <v>-15899</v>
      </c>
      <c r="G14" s="221">
        <f t="shared" si="1"/>
        <v>-17206</v>
      </c>
      <c r="H14" s="221">
        <f t="shared" si="4"/>
        <v>-21281</v>
      </c>
      <c r="I14" s="221">
        <f t="shared" si="2"/>
        <v>-19401</v>
      </c>
      <c r="J14" s="221">
        <f t="shared" si="2"/>
        <v>-20297</v>
      </c>
      <c r="K14" s="221">
        <f t="shared" si="2"/>
        <v>-43039</v>
      </c>
      <c r="L14" s="221">
        <f t="shared" si="5"/>
        <v>-31761</v>
      </c>
      <c r="M14" s="221">
        <f t="shared" si="3"/>
        <v>-27683</v>
      </c>
      <c r="N14" s="221">
        <f t="shared" si="3"/>
        <v>-27120</v>
      </c>
      <c r="O14" s="221">
        <f t="shared" si="3"/>
        <v>-51305</v>
      </c>
      <c r="P14" s="221">
        <f t="shared" si="6"/>
        <v>-27477</v>
      </c>
      <c r="V14" s="256"/>
      <c r="W14" s="256"/>
      <c r="X14" s="256"/>
      <c r="Y14" s="256"/>
      <c r="Z14" s="69"/>
    </row>
    <row r="15" spans="1:42" ht="15" thickBot="1">
      <c r="A15" s="211" t="s">
        <v>589</v>
      </c>
      <c r="B15" s="211" t="s">
        <v>595</v>
      </c>
      <c r="C15" s="219"/>
      <c r="D15" s="218">
        <f t="shared" si="0"/>
        <v>1708</v>
      </c>
      <c r="E15" s="218">
        <f t="shared" si="1"/>
        <v>-5880</v>
      </c>
      <c r="F15" s="218">
        <f t="shared" si="1"/>
        <v>32831</v>
      </c>
      <c r="G15" s="218">
        <f t="shared" si="1"/>
        <v>6796</v>
      </c>
      <c r="H15" s="218">
        <f t="shared" si="4"/>
        <v>17984</v>
      </c>
      <c r="I15" s="218">
        <f t="shared" si="2"/>
        <v>8070</v>
      </c>
      <c r="J15" s="218">
        <f t="shared" si="2"/>
        <v>1308</v>
      </c>
      <c r="K15" s="218">
        <f t="shared" si="2"/>
        <v>5647</v>
      </c>
      <c r="L15" s="218">
        <f t="shared" si="5"/>
        <v>6048</v>
      </c>
      <c r="M15" s="218">
        <f t="shared" si="3"/>
        <v>8784</v>
      </c>
      <c r="N15" s="218">
        <f t="shared" si="3"/>
        <v>8501</v>
      </c>
      <c r="O15" s="218">
        <f t="shared" si="3"/>
        <v>36069</v>
      </c>
      <c r="P15" s="218">
        <f t="shared" si="6"/>
        <v>38</v>
      </c>
      <c r="V15" s="256"/>
      <c r="W15" s="256"/>
      <c r="X15" s="256"/>
      <c r="Y15" s="256"/>
      <c r="Z15" s="69"/>
    </row>
    <row r="16" spans="1:42" ht="15" thickBot="1">
      <c r="A16" s="211" t="s">
        <v>590</v>
      </c>
      <c r="B16" s="211" t="s">
        <v>210</v>
      </c>
      <c r="C16" s="219"/>
      <c r="D16" s="218">
        <f t="shared" si="0"/>
        <v>0</v>
      </c>
      <c r="E16" s="218">
        <f t="shared" si="1"/>
        <v>0</v>
      </c>
      <c r="F16" s="218">
        <f t="shared" si="1"/>
        <v>-49654</v>
      </c>
      <c r="G16" s="218">
        <f t="shared" si="1"/>
        <v>-52499</v>
      </c>
      <c r="H16" s="218">
        <f t="shared" si="4"/>
        <v>-18766</v>
      </c>
      <c r="I16" s="218">
        <f t="shared" si="2"/>
        <v>-17255</v>
      </c>
      <c r="J16" s="218">
        <f t="shared" si="2"/>
        <v>-5005</v>
      </c>
      <c r="K16" s="218">
        <f t="shared" si="2"/>
        <v>-11201</v>
      </c>
      <c r="L16" s="218">
        <f t="shared" si="5"/>
        <v>-20655</v>
      </c>
      <c r="M16" s="218">
        <f t="shared" si="3"/>
        <v>-21529</v>
      </c>
      <c r="N16" s="218">
        <f t="shared" si="3"/>
        <v>-41670</v>
      </c>
      <c r="O16" s="218">
        <f t="shared" si="3"/>
        <v>-66188</v>
      </c>
      <c r="P16" s="218">
        <f t="shared" si="6"/>
        <v>-10653</v>
      </c>
      <c r="V16" s="256"/>
      <c r="W16" s="256"/>
      <c r="X16" s="256"/>
      <c r="Y16" s="256"/>
      <c r="Z16" s="69"/>
    </row>
    <row r="17" spans="1:42" ht="24.5" thickBot="1">
      <c r="A17" s="211" t="s">
        <v>601</v>
      </c>
      <c r="B17" s="211" t="s">
        <v>596</v>
      </c>
      <c r="C17" s="218"/>
      <c r="D17" s="218">
        <f t="shared" si="0"/>
        <v>-499180</v>
      </c>
      <c r="E17" s="218">
        <f t="shared" si="1"/>
        <v>-515450</v>
      </c>
      <c r="F17" s="218">
        <f t="shared" si="1"/>
        <v>-498150</v>
      </c>
      <c r="G17" s="218">
        <f t="shared" si="1"/>
        <v>-504540</v>
      </c>
      <c r="H17" s="218">
        <f t="shared" si="4"/>
        <v>-863650</v>
      </c>
      <c r="I17" s="218">
        <f t="shared" si="2"/>
        <v>-756970</v>
      </c>
      <c r="J17" s="218">
        <f t="shared" si="2"/>
        <v>-743180</v>
      </c>
      <c r="K17" s="218">
        <f t="shared" si="2"/>
        <v>-701580</v>
      </c>
      <c r="L17" s="218">
        <f t="shared" si="5"/>
        <v>-548810</v>
      </c>
      <c r="M17" s="218">
        <f t="shared" si="3"/>
        <v>-574780</v>
      </c>
      <c r="N17" s="218">
        <f t="shared" si="3"/>
        <v>-532800</v>
      </c>
      <c r="O17" s="218">
        <f t="shared" si="3"/>
        <v>-522680</v>
      </c>
      <c r="P17" s="218">
        <f t="shared" si="6"/>
        <v>-444790</v>
      </c>
      <c r="V17" s="256"/>
      <c r="W17" s="256"/>
      <c r="X17" s="256"/>
      <c r="Y17" s="256"/>
      <c r="Z17" s="69"/>
    </row>
    <row r="18" spans="1:42" ht="15" thickBot="1">
      <c r="A18" s="213" t="s">
        <v>591</v>
      </c>
      <c r="B18" s="213" t="s">
        <v>597</v>
      </c>
      <c r="C18" s="225"/>
      <c r="D18" s="226">
        <f t="shared" si="0"/>
        <v>-555565</v>
      </c>
      <c r="E18" s="226">
        <f t="shared" si="1"/>
        <v>-593357</v>
      </c>
      <c r="F18" s="226">
        <f t="shared" si="1"/>
        <v>-618682</v>
      </c>
      <c r="G18" s="226">
        <f t="shared" si="1"/>
        <v>-565018</v>
      </c>
      <c r="H18" s="226">
        <f t="shared" si="4"/>
        <v>-923149</v>
      </c>
      <c r="I18" s="226">
        <f t="shared" si="2"/>
        <v>-842471</v>
      </c>
      <c r="J18" s="226">
        <f t="shared" si="2"/>
        <v>-779278</v>
      </c>
      <c r="K18" s="226">
        <f t="shared" si="2"/>
        <v>-788227</v>
      </c>
      <c r="L18" s="226">
        <f t="shared" si="5"/>
        <v>-775389</v>
      </c>
      <c r="M18" s="226">
        <f t="shared" si="3"/>
        <v>-742260</v>
      </c>
      <c r="N18" s="226">
        <f t="shared" si="3"/>
        <v>-697761</v>
      </c>
      <c r="O18" s="226">
        <f t="shared" si="3"/>
        <v>-786450</v>
      </c>
      <c r="P18" s="226">
        <f t="shared" si="6"/>
        <v>-571592</v>
      </c>
      <c r="V18" s="256"/>
      <c r="W18" s="256"/>
      <c r="X18" s="256"/>
      <c r="Y18" s="256"/>
      <c r="Z18" s="69"/>
    </row>
    <row r="20" spans="1:42" s="1" customFormat="1" ht="15.5">
      <c r="A20" s="39" t="s">
        <v>669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K20" s="15"/>
      <c r="AL20" s="15"/>
      <c r="AM20" s="15"/>
      <c r="AN20" s="15"/>
      <c r="AO20" s="15"/>
      <c r="AP20" s="15"/>
    </row>
    <row r="21" spans="1:42" s="1" customFormat="1" ht="15.5">
      <c r="A21" s="39" t="s">
        <v>616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247"/>
      <c r="R21" s="247"/>
      <c r="S21" s="247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54"/>
      <c r="AK21" s="15"/>
      <c r="AL21" s="15"/>
      <c r="AM21" s="15"/>
      <c r="AN21" s="15"/>
      <c r="AO21" s="15"/>
      <c r="AP21" s="14"/>
    </row>
    <row r="22" spans="1:42" ht="24">
      <c r="A22" s="98" t="s">
        <v>395</v>
      </c>
      <c r="B22" s="98" t="s">
        <v>99</v>
      </c>
      <c r="C22" s="115" t="s">
        <v>511</v>
      </c>
      <c r="D22" s="115" t="s">
        <v>515</v>
      </c>
      <c r="E22" s="115" t="s">
        <v>522</v>
      </c>
      <c r="F22" s="115" t="s">
        <v>528</v>
      </c>
      <c r="G22" s="115" t="s">
        <v>532</v>
      </c>
      <c r="H22" s="115" t="s">
        <v>547</v>
      </c>
      <c r="I22" s="115" t="s">
        <v>647</v>
      </c>
      <c r="J22" s="115" t="s">
        <v>651</v>
      </c>
      <c r="K22" s="115" t="s">
        <v>662</v>
      </c>
      <c r="L22" s="115" t="s">
        <v>666</v>
      </c>
      <c r="M22" s="115" t="s">
        <v>673</v>
      </c>
      <c r="N22" s="115" t="s">
        <v>681</v>
      </c>
      <c r="O22" s="115" t="s">
        <v>686</v>
      </c>
      <c r="P22" s="115" t="s">
        <v>690</v>
      </c>
      <c r="Q22" s="247"/>
      <c r="R22" s="247"/>
      <c r="S22" s="1"/>
      <c r="T22" s="1"/>
      <c r="U22" s="1"/>
      <c r="V22" s="1"/>
      <c r="W22" s="1"/>
      <c r="X22" s="1"/>
    </row>
    <row r="23" spans="1:42" s="215" customFormat="1" ht="12.5" thickBot="1">
      <c r="A23" s="214" t="s">
        <v>582</v>
      </c>
      <c r="B23" s="214" t="s">
        <v>592</v>
      </c>
      <c r="C23" s="218">
        <v>99724</v>
      </c>
      <c r="D23" s="218">
        <v>23722</v>
      </c>
      <c r="E23" s="218">
        <v>47515</v>
      </c>
      <c r="F23" s="218">
        <v>71452</v>
      </c>
      <c r="G23" s="218">
        <v>93639</v>
      </c>
      <c r="H23" s="218">
        <v>10343</v>
      </c>
      <c r="I23" s="218">
        <v>14925</v>
      </c>
      <c r="J23" s="218">
        <v>20015</v>
      </c>
      <c r="K23" s="218">
        <v>19505</v>
      </c>
      <c r="L23" s="218">
        <v>4351</v>
      </c>
      <c r="M23" s="218">
        <v>741</v>
      </c>
      <c r="N23" s="218">
        <v>-2950</v>
      </c>
      <c r="O23" s="218">
        <v>-7302</v>
      </c>
      <c r="P23" s="218">
        <v>-7273</v>
      </c>
      <c r="Q23" s="248"/>
      <c r="R23" s="249"/>
      <c r="S23" s="1"/>
      <c r="T23" s="14"/>
      <c r="U23" s="15"/>
      <c r="V23" s="15"/>
      <c r="W23" s="15"/>
      <c r="X23" s="15"/>
      <c r="Y23" s="15"/>
      <c r="Z23" s="15"/>
    </row>
    <row r="24" spans="1:42" s="215" customFormat="1" ht="12.5" thickBot="1">
      <c r="A24" s="214" t="s">
        <v>1</v>
      </c>
      <c r="B24" s="214" t="s">
        <v>593</v>
      </c>
      <c r="C24" s="218">
        <v>15</v>
      </c>
      <c r="D24" s="218">
        <v>3833</v>
      </c>
      <c r="E24" s="218">
        <v>7433</v>
      </c>
      <c r="F24" s="218">
        <v>10855</v>
      </c>
      <c r="G24" s="218">
        <v>14085</v>
      </c>
      <c r="H24" s="218">
        <v>3141</v>
      </c>
      <c r="I24" s="218">
        <v>6172</v>
      </c>
      <c r="J24" s="218">
        <v>8987</v>
      </c>
      <c r="K24" s="218">
        <v>11608</v>
      </c>
      <c r="L24" s="218">
        <v>2507</v>
      </c>
      <c r="M24" s="218">
        <v>3835</v>
      </c>
      <c r="N24" s="218">
        <v>5029</v>
      </c>
      <c r="O24" s="218">
        <v>6133</v>
      </c>
      <c r="P24" s="218">
        <v>1018</v>
      </c>
      <c r="Q24" s="248"/>
      <c r="R24" s="249"/>
      <c r="S24" s="1"/>
      <c r="T24" s="14"/>
      <c r="U24" s="15"/>
      <c r="V24" s="15"/>
      <c r="W24" s="15"/>
      <c r="X24" s="15"/>
      <c r="Y24" s="15"/>
      <c r="Z24" s="15"/>
    </row>
    <row r="25" spans="1:42" s="215" customFormat="1" ht="24.5" thickBot="1">
      <c r="A25" s="214" t="s">
        <v>583</v>
      </c>
      <c r="B25" s="214" t="s">
        <v>598</v>
      </c>
      <c r="C25" s="218">
        <v>-363902</v>
      </c>
      <c r="D25" s="218">
        <v>-119846</v>
      </c>
      <c r="E25" s="218">
        <v>-228084</v>
      </c>
      <c r="F25" s="218">
        <v>-371762</v>
      </c>
      <c r="G25" s="218">
        <v>-380731</v>
      </c>
      <c r="H25" s="218">
        <v>-53046</v>
      </c>
      <c r="I25" s="218">
        <v>-113920</v>
      </c>
      <c r="J25" s="218">
        <v>-195129</v>
      </c>
      <c r="K25" s="218">
        <v>-273590</v>
      </c>
      <c r="L25" s="218">
        <v>-96634</v>
      </c>
      <c r="M25" s="218">
        <v>-198678</v>
      </c>
      <c r="N25" s="218">
        <v>-288764</v>
      </c>
      <c r="O25" s="218">
        <v>-406153</v>
      </c>
      <c r="P25" s="218">
        <v>-69433</v>
      </c>
      <c r="Q25" s="248"/>
      <c r="R25" s="249"/>
      <c r="S25" s="1"/>
      <c r="T25" s="14"/>
      <c r="U25" s="15"/>
      <c r="V25" s="15"/>
      <c r="W25" s="15"/>
      <c r="X25" s="15"/>
      <c r="Y25" s="15"/>
      <c r="Z25" s="15"/>
    </row>
    <row r="26" spans="1:42" s="215" customFormat="1" ht="36.5" thickBot="1">
      <c r="A26" s="214" t="s">
        <v>584</v>
      </c>
      <c r="B26" s="214" t="s">
        <v>602</v>
      </c>
      <c r="C26" s="218">
        <v>0</v>
      </c>
      <c r="D26" s="218">
        <v>0</v>
      </c>
      <c r="E26" s="218">
        <v>0</v>
      </c>
      <c r="F26" s="218">
        <v>0</v>
      </c>
      <c r="G26" s="218">
        <v>0</v>
      </c>
      <c r="H26" s="218">
        <v>0</v>
      </c>
      <c r="I26" s="218">
        <v>0</v>
      </c>
      <c r="J26" s="218">
        <v>0</v>
      </c>
      <c r="K26" s="218">
        <v>0</v>
      </c>
      <c r="L26" s="218">
        <v>0</v>
      </c>
      <c r="M26" s="218">
        <v>0</v>
      </c>
      <c r="N26" s="218">
        <v>0</v>
      </c>
      <c r="O26" s="218">
        <v>0</v>
      </c>
      <c r="P26" s="218">
        <v>0</v>
      </c>
      <c r="Q26" s="248"/>
      <c r="R26" s="249"/>
      <c r="S26" s="1"/>
      <c r="T26" s="14"/>
      <c r="U26" s="1"/>
      <c r="V26" s="1"/>
      <c r="W26" s="15"/>
      <c r="X26" s="15"/>
      <c r="Y26" s="1"/>
      <c r="Z26" s="15"/>
    </row>
    <row r="27" spans="1:42" s="215" customFormat="1" ht="12.5" thickBot="1">
      <c r="A27" s="214" t="s">
        <v>585</v>
      </c>
      <c r="B27" s="214" t="s">
        <v>599</v>
      </c>
      <c r="C27" s="218">
        <v>209155</v>
      </c>
      <c r="D27" s="218">
        <v>46082</v>
      </c>
      <c r="E27" s="218">
        <v>68499</v>
      </c>
      <c r="F27" s="218">
        <v>97008</v>
      </c>
      <c r="G27" s="218">
        <v>82991</v>
      </c>
      <c r="H27" s="218">
        <v>2126</v>
      </c>
      <c r="I27" s="218">
        <v>-1528</v>
      </c>
      <c r="J27" s="218">
        <v>59672</v>
      </c>
      <c r="K27" s="218">
        <v>97968</v>
      </c>
      <c r="L27" s="218">
        <v>-90435</v>
      </c>
      <c r="M27" s="218">
        <v>-113161</v>
      </c>
      <c r="N27" s="218">
        <v>-125250</v>
      </c>
      <c r="O27" s="218">
        <v>-186959</v>
      </c>
      <c r="P27" s="218">
        <v>-13022</v>
      </c>
      <c r="Q27" s="248"/>
      <c r="R27" s="249"/>
      <c r="S27" s="1"/>
      <c r="T27" s="14"/>
      <c r="U27" s="15"/>
      <c r="V27" s="15"/>
      <c r="W27" s="15"/>
      <c r="X27" s="15"/>
      <c r="Y27" s="15"/>
      <c r="Z27" s="15"/>
    </row>
    <row r="28" spans="1:42" s="215" customFormat="1" ht="12.5" thickBot="1">
      <c r="A28" s="216" t="s">
        <v>249</v>
      </c>
      <c r="B28" s="216" t="s">
        <v>603</v>
      </c>
      <c r="C28" s="221">
        <v>-55008</v>
      </c>
      <c r="D28" s="221">
        <v>-46209</v>
      </c>
      <c r="E28" s="221">
        <v>-104637</v>
      </c>
      <c r="F28" s="221">
        <v>-192447</v>
      </c>
      <c r="G28" s="221">
        <v>-190016</v>
      </c>
      <c r="H28" s="221">
        <v>-37436</v>
      </c>
      <c r="I28" s="221">
        <v>-94351</v>
      </c>
      <c r="J28" s="221">
        <v>-106455</v>
      </c>
      <c r="K28" s="221">
        <f>SUM(K23:K27)</f>
        <v>-144509</v>
      </c>
      <c r="L28" s="221">
        <f>SUM(L23:L27)</f>
        <v>-180211</v>
      </c>
      <c r="M28" s="221">
        <f>SUM(M23:M27)</f>
        <v>-307263</v>
      </c>
      <c r="N28" s="221">
        <f>+N23+N24+N25+N26+N27</f>
        <v>-411935</v>
      </c>
      <c r="O28" s="221">
        <f>+O23+O24+O25+O26+O27</f>
        <v>-594281</v>
      </c>
      <c r="P28" s="221">
        <f>+P23+P24+P25+P26+P27</f>
        <v>-88710</v>
      </c>
      <c r="Q28" s="248"/>
      <c r="R28" s="249"/>
      <c r="S28" s="1"/>
      <c r="T28" s="14"/>
      <c r="U28" s="15"/>
      <c r="V28" s="15"/>
      <c r="W28" s="15"/>
      <c r="X28" s="15"/>
      <c r="Y28" s="15"/>
      <c r="Z28" s="15"/>
    </row>
    <row r="29" spans="1:42" s="215" customFormat="1" ht="12.5" thickBot="1">
      <c r="A29" s="214" t="s">
        <v>53</v>
      </c>
      <c r="B29" s="214" t="s">
        <v>604</v>
      </c>
      <c r="C29" s="218">
        <v>0</v>
      </c>
      <c r="D29" s="218">
        <v>0</v>
      </c>
      <c r="E29" s="218">
        <v>0</v>
      </c>
      <c r="F29" s="218">
        <v>0</v>
      </c>
      <c r="G29" s="218">
        <v>0</v>
      </c>
      <c r="H29" s="218">
        <v>0</v>
      </c>
      <c r="I29" s="218">
        <v>0</v>
      </c>
      <c r="J29" s="218">
        <v>0</v>
      </c>
      <c r="K29" s="218">
        <v>0</v>
      </c>
      <c r="L29" s="218">
        <v>0</v>
      </c>
      <c r="M29" s="218">
        <v>0</v>
      </c>
      <c r="N29" s="218">
        <v>0</v>
      </c>
      <c r="O29" s="218">
        <v>0</v>
      </c>
      <c r="P29" s="218">
        <v>0</v>
      </c>
      <c r="Q29" s="248"/>
      <c r="R29" s="249"/>
      <c r="S29" s="1"/>
      <c r="T29" s="14"/>
      <c r="U29" s="15"/>
      <c r="V29" s="15"/>
      <c r="W29" s="15"/>
      <c r="X29" s="15"/>
      <c r="Y29" s="1"/>
      <c r="Z29" s="15"/>
    </row>
    <row r="30" spans="1:42" s="215" customFormat="1" ht="12.5" thickBot="1">
      <c r="A30" s="214" t="s">
        <v>586</v>
      </c>
      <c r="B30" s="214" t="s">
        <v>594</v>
      </c>
      <c r="C30" s="218">
        <v>-49675</v>
      </c>
      <c r="D30" s="218">
        <v>-11884</v>
      </c>
      <c r="E30" s="218">
        <v>-25483</v>
      </c>
      <c r="F30" s="218">
        <v>-41382</v>
      </c>
      <c r="G30" s="218">
        <v>-58588</v>
      </c>
      <c r="H30" s="218">
        <v>-21281</v>
      </c>
      <c r="I30" s="218">
        <v>-40682</v>
      </c>
      <c r="J30" s="218">
        <v>-60979</v>
      </c>
      <c r="K30" s="218">
        <v>-104018</v>
      </c>
      <c r="L30" s="218">
        <v>-31761</v>
      </c>
      <c r="M30" s="218">
        <v>-59444</v>
      </c>
      <c r="N30" s="218">
        <v>-86564</v>
      </c>
      <c r="O30" s="218">
        <v>-137869</v>
      </c>
      <c r="P30" s="218">
        <v>-27477</v>
      </c>
      <c r="Q30" s="248"/>
      <c r="R30" s="249"/>
      <c r="S30" s="1"/>
      <c r="T30" s="14"/>
      <c r="U30" s="15"/>
      <c r="V30" s="15"/>
      <c r="W30" s="15"/>
      <c r="X30" s="15"/>
      <c r="Y30" s="15"/>
      <c r="Z30" s="15"/>
    </row>
    <row r="31" spans="1:42" s="215" customFormat="1" ht="12.5" thickBot="1">
      <c r="A31" s="214" t="s">
        <v>600</v>
      </c>
      <c r="B31" s="214" t="s">
        <v>617</v>
      </c>
      <c r="C31" s="223">
        <v>0</v>
      </c>
      <c r="D31" s="223">
        <v>0</v>
      </c>
      <c r="E31" s="223">
        <v>0</v>
      </c>
      <c r="F31" s="223">
        <v>0</v>
      </c>
      <c r="G31" s="223">
        <v>0</v>
      </c>
      <c r="H31" s="223">
        <v>0</v>
      </c>
      <c r="I31" s="223">
        <v>0</v>
      </c>
      <c r="J31" s="223">
        <v>0</v>
      </c>
      <c r="K31" s="223">
        <v>0</v>
      </c>
      <c r="L31" s="223">
        <v>0</v>
      </c>
      <c r="M31" s="223">
        <v>0</v>
      </c>
      <c r="N31" s="223">
        <v>0</v>
      </c>
      <c r="O31" s="223">
        <v>0</v>
      </c>
      <c r="P31" s="223">
        <v>0</v>
      </c>
      <c r="Q31" s="248"/>
      <c r="R31" s="249"/>
      <c r="S31" s="1"/>
      <c r="T31" s="14"/>
      <c r="U31" s="15"/>
      <c r="V31" s="1"/>
      <c r="W31" s="15"/>
      <c r="X31" s="15"/>
      <c r="Y31" s="1"/>
      <c r="Z31" s="15"/>
    </row>
    <row r="32" spans="1:42" s="215" customFormat="1" ht="12.5" thickBot="1">
      <c r="A32" s="214" t="s">
        <v>587</v>
      </c>
      <c r="B32" s="214" t="s">
        <v>208</v>
      </c>
      <c r="C32" s="218">
        <v>0</v>
      </c>
      <c r="D32" s="218">
        <v>0</v>
      </c>
      <c r="E32" s="218">
        <v>0</v>
      </c>
      <c r="F32" s="218">
        <v>0</v>
      </c>
      <c r="G32" s="218">
        <v>0</v>
      </c>
      <c r="H32" s="218">
        <v>0</v>
      </c>
      <c r="I32" s="218">
        <v>0</v>
      </c>
      <c r="J32" s="218">
        <v>0</v>
      </c>
      <c r="K32" s="218">
        <v>0</v>
      </c>
      <c r="L32" s="218">
        <v>0</v>
      </c>
      <c r="M32" s="218">
        <v>0</v>
      </c>
      <c r="N32" s="218">
        <v>0</v>
      </c>
      <c r="O32" s="218">
        <v>0</v>
      </c>
      <c r="P32" s="218">
        <v>0</v>
      </c>
      <c r="Q32" s="248"/>
      <c r="R32" s="249"/>
      <c r="S32" s="1"/>
      <c r="T32" s="14"/>
      <c r="U32" s="15"/>
      <c r="V32" s="15"/>
      <c r="W32" s="15"/>
      <c r="X32" s="15"/>
      <c r="Y32" s="1"/>
      <c r="Z32" s="15"/>
    </row>
    <row r="33" spans="1:26" s="215" customFormat="1" ht="12.5" thickBot="1">
      <c r="A33" s="216" t="s">
        <v>588</v>
      </c>
      <c r="B33" s="216" t="s">
        <v>605</v>
      </c>
      <c r="C33" s="221">
        <v>-49675</v>
      </c>
      <c r="D33" s="221">
        <v>-11884</v>
      </c>
      <c r="E33" s="221">
        <v>-25483</v>
      </c>
      <c r="F33" s="221">
        <v>-41382</v>
      </c>
      <c r="G33" s="221">
        <v>-58588</v>
      </c>
      <c r="H33" s="221">
        <v>-21281</v>
      </c>
      <c r="I33" s="221">
        <v>-40682</v>
      </c>
      <c r="J33" s="221">
        <v>-60979</v>
      </c>
      <c r="K33" s="221">
        <f t="shared" ref="K33:P33" si="7">+K32+K30+K29</f>
        <v>-104018</v>
      </c>
      <c r="L33" s="221">
        <f t="shared" si="7"/>
        <v>-31761</v>
      </c>
      <c r="M33" s="221">
        <f t="shared" si="7"/>
        <v>-59444</v>
      </c>
      <c r="N33" s="221">
        <f t="shared" si="7"/>
        <v>-86564</v>
      </c>
      <c r="O33" s="221">
        <f t="shared" si="7"/>
        <v>-137869</v>
      </c>
      <c r="P33" s="221">
        <f t="shared" si="7"/>
        <v>-27477</v>
      </c>
      <c r="Q33" s="248"/>
      <c r="R33" s="249"/>
      <c r="S33" s="1"/>
      <c r="T33" s="14"/>
      <c r="U33" s="15"/>
      <c r="V33" s="15"/>
      <c r="W33" s="15"/>
      <c r="X33" s="15"/>
      <c r="Y33" s="15"/>
      <c r="Z33" s="15"/>
    </row>
    <row r="34" spans="1:26" s="215" customFormat="1" ht="12.5" thickBot="1">
      <c r="A34" s="214" t="s">
        <v>589</v>
      </c>
      <c r="B34" s="214" t="s">
        <v>595</v>
      </c>
      <c r="C34" s="218">
        <v>7838</v>
      </c>
      <c r="D34" s="218">
        <v>1708</v>
      </c>
      <c r="E34" s="218">
        <v>-4172</v>
      </c>
      <c r="F34" s="218">
        <v>28659</v>
      </c>
      <c r="G34" s="218">
        <v>35455</v>
      </c>
      <c r="H34" s="218">
        <v>17984</v>
      </c>
      <c r="I34" s="218">
        <v>26054</v>
      </c>
      <c r="J34" s="218">
        <v>27362</v>
      </c>
      <c r="K34" s="218">
        <v>33009</v>
      </c>
      <c r="L34" s="218">
        <v>6048</v>
      </c>
      <c r="M34" s="218">
        <v>14832</v>
      </c>
      <c r="N34" s="218">
        <v>23333</v>
      </c>
      <c r="O34" s="218">
        <v>59402</v>
      </c>
      <c r="P34" s="218">
        <v>38</v>
      </c>
      <c r="Q34" s="248"/>
      <c r="R34" s="249"/>
      <c r="S34" s="1"/>
      <c r="T34" s="14"/>
      <c r="U34" s="15"/>
      <c r="V34" s="15"/>
      <c r="W34" s="15"/>
      <c r="X34" s="15"/>
      <c r="Y34" s="15"/>
      <c r="Z34" s="15"/>
    </row>
    <row r="35" spans="1:26" s="215" customFormat="1" ht="12.5" thickBot="1">
      <c r="A35" s="214" t="s">
        <v>590</v>
      </c>
      <c r="B35" s="214" t="s">
        <v>210</v>
      </c>
      <c r="C35" s="218">
        <v>0</v>
      </c>
      <c r="D35" s="218">
        <v>0</v>
      </c>
      <c r="E35" s="218">
        <v>0</v>
      </c>
      <c r="F35" s="218">
        <v>-49654</v>
      </c>
      <c r="G35" s="218">
        <v>-102153</v>
      </c>
      <c r="H35" s="218">
        <v>-18766</v>
      </c>
      <c r="I35" s="218">
        <v>-36021</v>
      </c>
      <c r="J35" s="218">
        <v>-41026</v>
      </c>
      <c r="K35" s="218">
        <v>-52227</v>
      </c>
      <c r="L35" s="218">
        <v>-20655</v>
      </c>
      <c r="M35" s="218">
        <v>-42184</v>
      </c>
      <c r="N35" s="218">
        <v>-83854</v>
      </c>
      <c r="O35" s="218">
        <v>-150042</v>
      </c>
      <c r="P35" s="218">
        <v>-10653</v>
      </c>
      <c r="Q35" s="248"/>
      <c r="R35" s="249"/>
      <c r="S35" s="1"/>
      <c r="T35" s="14"/>
      <c r="U35" s="15"/>
      <c r="V35" s="15"/>
      <c r="W35" s="1"/>
      <c r="X35" s="15"/>
      <c r="Y35" s="15"/>
      <c r="Z35" s="15"/>
    </row>
    <row r="36" spans="1:26" s="215" customFormat="1" ht="24.5" thickBot="1">
      <c r="A36" s="214" t="s">
        <v>601</v>
      </c>
      <c r="B36" s="214" t="s">
        <v>596</v>
      </c>
      <c r="C36" s="218">
        <v>-2305157</v>
      </c>
      <c r="D36" s="218">
        <v>-499180</v>
      </c>
      <c r="E36" s="218">
        <v>-1014630</v>
      </c>
      <c r="F36" s="218">
        <v>-1512780</v>
      </c>
      <c r="G36" s="218">
        <v>-2017320</v>
      </c>
      <c r="H36" s="218">
        <v>-863650</v>
      </c>
      <c r="I36" s="218">
        <v>-1620620</v>
      </c>
      <c r="J36" s="218">
        <v>-2363800</v>
      </c>
      <c r="K36" s="218">
        <v>-3065380</v>
      </c>
      <c r="L36" s="218">
        <v>-548810</v>
      </c>
      <c r="M36" s="218">
        <v>-1123590</v>
      </c>
      <c r="N36" s="218">
        <v>-1656390</v>
      </c>
      <c r="O36" s="218">
        <v>-2179070</v>
      </c>
      <c r="P36" s="218">
        <v>-444790</v>
      </c>
      <c r="Q36" s="248"/>
      <c r="R36" s="249"/>
      <c r="S36" s="1"/>
      <c r="T36" s="14"/>
      <c r="U36" s="1"/>
      <c r="V36" s="1"/>
      <c r="W36" s="1"/>
      <c r="X36" s="15"/>
      <c r="Y36" s="15"/>
      <c r="Z36" s="15"/>
    </row>
    <row r="37" spans="1:26" s="215" customFormat="1" ht="12.5" thickBot="1">
      <c r="A37" s="217" t="s">
        <v>591</v>
      </c>
      <c r="B37" s="217" t="s">
        <v>597</v>
      </c>
      <c r="C37" s="226">
        <v>-2402002</v>
      </c>
      <c r="D37" s="226">
        <v>-555565</v>
      </c>
      <c r="E37" s="226">
        <v>-1148922</v>
      </c>
      <c r="F37" s="226">
        <v>-1767604</v>
      </c>
      <c r="G37" s="226">
        <v>-2332622</v>
      </c>
      <c r="H37" s="226">
        <v>-923149</v>
      </c>
      <c r="I37" s="226">
        <v>-1765620</v>
      </c>
      <c r="J37" s="226">
        <v>-2544898</v>
      </c>
      <c r="K37" s="226">
        <f t="shared" ref="K37:P37" si="8">+K28+K33+K34+K35+K36</f>
        <v>-3333125</v>
      </c>
      <c r="L37" s="226">
        <f t="shared" si="8"/>
        <v>-775389</v>
      </c>
      <c r="M37" s="226">
        <f t="shared" si="8"/>
        <v>-1517649</v>
      </c>
      <c r="N37" s="226">
        <f t="shared" si="8"/>
        <v>-2215410</v>
      </c>
      <c r="O37" s="226">
        <f t="shared" si="8"/>
        <v>-3001860</v>
      </c>
      <c r="P37" s="226">
        <f t="shared" si="8"/>
        <v>-571592</v>
      </c>
      <c r="Q37" s="248"/>
      <c r="R37" s="249"/>
      <c r="S37" s="253"/>
      <c r="T37" s="14"/>
      <c r="U37" s="254"/>
      <c r="V37" s="255"/>
      <c r="W37" s="254"/>
      <c r="X37" s="15"/>
      <c r="Y37" s="15"/>
      <c r="Z37" s="15"/>
    </row>
    <row r="38" spans="1:26">
      <c r="Q38" s="248"/>
    </row>
    <row r="39" spans="1:26">
      <c r="K39" s="69"/>
      <c r="L39" s="69"/>
      <c r="M39" s="69"/>
      <c r="N39" s="69"/>
      <c r="O39" s="69"/>
      <c r="T39" s="14"/>
      <c r="U39" s="243"/>
      <c r="V39" s="242"/>
      <c r="W39" s="243"/>
      <c r="Z39" s="124"/>
    </row>
    <row r="40" spans="1:26">
      <c r="T40" s="14"/>
      <c r="U40" s="245"/>
      <c r="V40" s="245"/>
      <c r="W40" s="246"/>
      <c r="Z40" s="124"/>
    </row>
    <row r="41" spans="1:26">
      <c r="T41" s="14"/>
      <c r="U41" s="254"/>
      <c r="V41" s="255"/>
      <c r="W41" s="254"/>
      <c r="X41" s="15"/>
      <c r="Z41" s="124"/>
    </row>
    <row r="42" spans="1:26">
      <c r="T42" s="14"/>
      <c r="U42" s="158"/>
      <c r="V42" s="158"/>
      <c r="W42" s="158"/>
      <c r="X42" s="158"/>
      <c r="Z42" s="124"/>
    </row>
    <row r="48" spans="1:26">
      <c r="U48" s="124"/>
      <c r="V48" s="124"/>
      <c r="W48" s="124"/>
      <c r="X48" s="124"/>
      <c r="Y48" s="124"/>
      <c r="Z48" s="124"/>
    </row>
    <row r="49" spans="21:26">
      <c r="U49" s="124"/>
      <c r="V49" s="124"/>
      <c r="W49" s="124"/>
      <c r="X49" s="124"/>
      <c r="Y49" s="124"/>
      <c r="Z49" s="124"/>
    </row>
    <row r="50" spans="21:26">
      <c r="U50" s="124"/>
      <c r="V50" s="124"/>
      <c r="X50" s="124"/>
      <c r="Y50" s="124"/>
      <c r="Z50" s="124"/>
    </row>
    <row r="51" spans="21:26">
      <c r="U51" s="124"/>
      <c r="W51" s="124"/>
      <c r="X51" s="124"/>
      <c r="Z51" s="124"/>
    </row>
    <row r="52" spans="21:26">
      <c r="U52" s="124"/>
      <c r="X52" s="124"/>
      <c r="Y52" s="124"/>
      <c r="Z52" s="124"/>
    </row>
    <row r="53" spans="21:26">
      <c r="U53" s="124"/>
      <c r="V53" s="124"/>
      <c r="W53" s="124"/>
      <c r="X53" s="124"/>
      <c r="Y53" s="124"/>
      <c r="Z53" s="124"/>
    </row>
    <row r="54" spans="21:26">
      <c r="U54" s="124"/>
      <c r="V54" s="124"/>
      <c r="W54" s="124"/>
      <c r="X54" s="124"/>
      <c r="Z54" s="124"/>
    </row>
    <row r="55" spans="21:26">
      <c r="U55" s="124"/>
      <c r="V55" s="124"/>
      <c r="W55" s="124"/>
      <c r="X55" s="124"/>
      <c r="Y55" s="124"/>
      <c r="Z55" s="124"/>
    </row>
    <row r="56" spans="21:26">
      <c r="W56" s="124"/>
      <c r="X56" s="124"/>
      <c r="Z56" s="124"/>
    </row>
    <row r="57" spans="21:26">
      <c r="U57" s="124"/>
      <c r="V57" s="124"/>
      <c r="W57" s="124"/>
      <c r="X57" s="124"/>
      <c r="Z57" s="124"/>
    </row>
    <row r="58" spans="21:26">
      <c r="U58" s="124"/>
      <c r="V58" s="124"/>
      <c r="W58" s="124"/>
      <c r="X58" s="124"/>
      <c r="Y58" s="124"/>
      <c r="Z58" s="124"/>
    </row>
    <row r="59" spans="21:26">
      <c r="U59" s="124"/>
      <c r="V59" s="124"/>
      <c r="W59" s="124"/>
      <c r="X59" s="124"/>
      <c r="Y59" s="124"/>
      <c r="Z59" s="124"/>
    </row>
    <row r="60" spans="21:26">
      <c r="U60" s="124"/>
      <c r="V60" s="124"/>
      <c r="X60" s="124"/>
      <c r="Y60" s="124"/>
      <c r="Z60" s="124"/>
    </row>
    <row r="61" spans="21:26">
      <c r="Y61" s="124"/>
      <c r="Z61" s="124"/>
    </row>
    <row r="62" spans="21:26">
      <c r="U62" s="124"/>
      <c r="V62" s="124"/>
      <c r="W62" s="124"/>
      <c r="X62" s="124"/>
      <c r="Y62" s="124"/>
      <c r="Z62" s="124"/>
    </row>
    <row r="65" spans="26:26">
      <c r="Z65" s="124"/>
    </row>
    <row r="67" spans="26:26">
      <c r="Z67" s="12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320D-CE76-4E3F-BA54-C1541FB1333B}">
  <dimension ref="A1:AI63"/>
  <sheetViews>
    <sheetView zoomScale="90" zoomScaleNormal="90" workbookViewId="0">
      <pane xSplit="2" ySplit="4" topLeftCell="AC46" activePane="bottomRight" state="frozenSplit"/>
      <selection pane="topRight" activeCell="B70" sqref="B70"/>
      <selection pane="bottomLeft" activeCell="A3" sqref="A3"/>
      <selection pane="bottomRight"/>
    </sheetView>
  </sheetViews>
  <sheetFormatPr defaultColWidth="8.33203125" defaultRowHeight="12.5"/>
  <cols>
    <col min="1" max="1" width="27.08203125" style="180" customWidth="1"/>
    <col min="2" max="2" width="28.58203125" style="180" customWidth="1"/>
    <col min="3" max="9" width="9.58203125" style="180" customWidth="1"/>
    <col min="10" max="10" width="9.58203125" style="181" customWidth="1"/>
    <col min="11" max="15" width="9.75" style="181" customWidth="1"/>
    <col min="16" max="30" width="11.08203125" style="181" bestFit="1" customWidth="1"/>
    <col min="31" max="32" width="11.08203125" style="181" customWidth="1"/>
    <col min="33" max="33" width="11.58203125" style="180" customWidth="1"/>
    <col min="34" max="34" width="11.5" style="180" customWidth="1"/>
    <col min="35" max="35" width="9.75" style="180" customWidth="1"/>
    <col min="36" max="36" width="10.75" style="180" customWidth="1"/>
    <col min="37" max="37" width="9.75" style="180" customWidth="1"/>
    <col min="38" max="16384" width="8.33203125" style="180"/>
  </cols>
  <sheetData>
    <row r="1" spans="1:35" s="1" customFormat="1" ht="15.5">
      <c r="A1" s="39" t="s">
        <v>114</v>
      </c>
      <c r="B1" s="39"/>
    </row>
    <row r="2" spans="1:35" s="1" customFormat="1" ht="15.5">
      <c r="A2" s="39" t="s">
        <v>378</v>
      </c>
      <c r="B2" s="39"/>
      <c r="X2" s="14"/>
      <c r="Y2" s="14"/>
      <c r="Z2" s="14"/>
      <c r="AA2" s="14"/>
      <c r="AB2" s="14"/>
      <c r="AC2" s="14"/>
      <c r="AD2" s="14"/>
      <c r="AE2" s="14"/>
      <c r="AF2" s="262"/>
    </row>
    <row r="3" spans="1:35" s="1" customFormat="1" thickBot="1">
      <c r="A3" s="42" t="s">
        <v>654</v>
      </c>
      <c r="B3" s="42" t="s">
        <v>633</v>
      </c>
      <c r="X3" s="14"/>
      <c r="Y3" s="14"/>
      <c r="Z3" s="14"/>
      <c r="AA3" s="14"/>
      <c r="AB3" s="14"/>
      <c r="AC3" s="14"/>
      <c r="AD3" s="14"/>
      <c r="AE3" s="14"/>
      <c r="AF3" s="262"/>
    </row>
    <row r="4" spans="1:35" ht="13" thickBot="1">
      <c r="A4" s="182" t="s">
        <v>655</v>
      </c>
      <c r="B4" s="182" t="s">
        <v>551</v>
      </c>
      <c r="C4" s="183" t="s">
        <v>191</v>
      </c>
      <c r="D4" s="183" t="s">
        <v>221</v>
      </c>
      <c r="E4" s="183" t="s">
        <v>264</v>
      </c>
      <c r="F4" s="183" t="s">
        <v>301</v>
      </c>
      <c r="G4" s="183" t="s">
        <v>304</v>
      </c>
      <c r="H4" s="183" t="s">
        <v>308</v>
      </c>
      <c r="I4" s="183" t="s">
        <v>319</v>
      </c>
      <c r="J4" s="183" t="s">
        <v>324</v>
      </c>
      <c r="K4" s="183" t="s">
        <v>330</v>
      </c>
      <c r="L4" s="183" t="s">
        <v>401</v>
      </c>
      <c r="M4" s="183" t="s">
        <v>469</v>
      </c>
      <c r="N4" s="183" t="s">
        <v>474</v>
      </c>
      <c r="O4" s="183" t="s">
        <v>481</v>
      </c>
      <c r="P4" s="183" t="s">
        <v>490</v>
      </c>
      <c r="Q4" s="183" t="s">
        <v>503</v>
      </c>
      <c r="R4" s="183" t="s">
        <v>507</v>
      </c>
      <c r="S4" s="183" t="s">
        <v>512</v>
      </c>
      <c r="T4" s="183" t="s">
        <v>516</v>
      </c>
      <c r="U4" s="183" t="s">
        <v>519</v>
      </c>
      <c r="V4" s="183" t="s">
        <v>524</v>
      </c>
      <c r="W4" s="183" t="s">
        <v>542</v>
      </c>
      <c r="X4" s="183" t="s">
        <v>548</v>
      </c>
      <c r="Y4" s="183" t="s">
        <v>650</v>
      </c>
      <c r="Z4" s="183" t="s">
        <v>653</v>
      </c>
      <c r="AA4" s="183" t="s">
        <v>663</v>
      </c>
      <c r="AB4" s="183" t="s">
        <v>667</v>
      </c>
      <c r="AC4" s="183" t="s">
        <v>674</v>
      </c>
      <c r="AD4" s="183" t="s">
        <v>677</v>
      </c>
      <c r="AE4" s="183" t="s">
        <v>684</v>
      </c>
      <c r="AF4" s="183" t="s">
        <v>691</v>
      </c>
      <c r="AG4" s="232"/>
    </row>
    <row r="5" spans="1:35" s="232" customFormat="1" thickBot="1">
      <c r="A5" s="227" t="s">
        <v>222</v>
      </c>
      <c r="B5" s="227" t="s">
        <v>223</v>
      </c>
      <c r="C5" s="184">
        <v>2080151</v>
      </c>
      <c r="D5" s="184">
        <v>2881456</v>
      </c>
      <c r="E5" s="184">
        <v>2146680</v>
      </c>
      <c r="F5" s="184">
        <v>2237361</v>
      </c>
      <c r="G5" s="184">
        <v>2450176</v>
      </c>
      <c r="H5" s="185">
        <v>1736975.05</v>
      </c>
      <c r="I5" s="185">
        <v>3396000.13527</v>
      </c>
      <c r="J5" s="184">
        <v>3197632.4282199997</v>
      </c>
      <c r="K5" s="184">
        <v>2203444</v>
      </c>
      <c r="L5" s="184">
        <v>2477540.0499999998</v>
      </c>
      <c r="M5" s="184">
        <v>1224788</v>
      </c>
      <c r="N5" s="184">
        <v>1181740</v>
      </c>
      <c r="O5" s="184">
        <v>1460289</v>
      </c>
      <c r="P5" s="184">
        <v>2360647.0499999998</v>
      </c>
      <c r="Q5" s="184">
        <v>2676407.0499999998</v>
      </c>
      <c r="R5" s="184">
        <v>1977706</v>
      </c>
      <c r="S5" s="184">
        <v>3179736</v>
      </c>
      <c r="T5" s="184">
        <v>8285941</v>
      </c>
      <c r="U5" s="184">
        <v>5810033</v>
      </c>
      <c r="V5" s="184">
        <v>10131930.439999999</v>
      </c>
      <c r="W5" s="185">
        <v>9536089.9900000002</v>
      </c>
      <c r="X5" s="184">
        <v>5452015.9400000004</v>
      </c>
      <c r="Y5" s="184">
        <v>6768777</v>
      </c>
      <c r="Z5" s="184">
        <v>4581063</v>
      </c>
      <c r="AA5" s="184">
        <v>5094983.8</v>
      </c>
      <c r="AB5" s="184">
        <v>4937063</v>
      </c>
      <c r="AC5" s="184">
        <v>5856992</v>
      </c>
      <c r="AD5" s="184">
        <v>7091943</v>
      </c>
      <c r="AE5" s="184">
        <v>5178984</v>
      </c>
      <c r="AF5" s="184">
        <v>4834361</v>
      </c>
      <c r="AG5" s="239"/>
      <c r="AH5" s="239"/>
      <c r="AI5" s="239"/>
    </row>
    <row r="6" spans="1:35" s="232" customFormat="1" thickBot="1">
      <c r="A6" s="228" t="s">
        <v>224</v>
      </c>
      <c r="B6" s="228" t="s">
        <v>225</v>
      </c>
      <c r="C6" s="186">
        <v>531125</v>
      </c>
      <c r="D6" s="186">
        <v>1800461</v>
      </c>
      <c r="E6" s="186">
        <v>1410008</v>
      </c>
      <c r="F6" s="186">
        <v>1259804</v>
      </c>
      <c r="G6" s="186">
        <v>794718</v>
      </c>
      <c r="H6" s="187">
        <v>871557.58881999995</v>
      </c>
      <c r="I6" s="187">
        <v>796926.56067000004</v>
      </c>
      <c r="J6" s="188">
        <v>876245.78655999992</v>
      </c>
      <c r="K6" s="188">
        <v>986728</v>
      </c>
      <c r="L6" s="188">
        <v>795571.82680000004</v>
      </c>
      <c r="M6" s="188">
        <v>479157</v>
      </c>
      <c r="N6" s="188">
        <v>480355</v>
      </c>
      <c r="O6" s="188">
        <v>423846.00245999999</v>
      </c>
      <c r="P6" s="188">
        <v>389800.29658999998</v>
      </c>
      <c r="Q6" s="188">
        <v>226619.99225000001</v>
      </c>
      <c r="R6" s="188">
        <v>283545</v>
      </c>
      <c r="S6" s="188">
        <v>172483</v>
      </c>
      <c r="T6" s="188">
        <v>289033</v>
      </c>
      <c r="U6" s="188">
        <v>251444</v>
      </c>
      <c r="V6" s="186">
        <v>469778.86</v>
      </c>
      <c r="W6" s="187">
        <v>363519.09</v>
      </c>
      <c r="X6" s="186">
        <v>527957.98</v>
      </c>
      <c r="Y6" s="186">
        <v>692718</v>
      </c>
      <c r="Z6" s="186">
        <v>785232</v>
      </c>
      <c r="AA6" s="186">
        <v>608923.82999999996</v>
      </c>
      <c r="AB6" s="186">
        <v>998447</v>
      </c>
      <c r="AC6" s="186">
        <v>632990</v>
      </c>
      <c r="AD6" s="186">
        <v>786045</v>
      </c>
      <c r="AE6" s="186">
        <v>811324</v>
      </c>
      <c r="AF6" s="186">
        <v>767787</v>
      </c>
      <c r="AG6" s="239"/>
      <c r="AH6" s="239"/>
      <c r="AI6" s="239"/>
    </row>
    <row r="7" spans="1:35" s="232" customFormat="1" thickBot="1">
      <c r="A7" s="227" t="s">
        <v>618</v>
      </c>
      <c r="B7" s="227" t="s">
        <v>552</v>
      </c>
      <c r="C7" s="184">
        <v>192664</v>
      </c>
      <c r="D7" s="184">
        <v>133929</v>
      </c>
      <c r="E7" s="184">
        <v>168318</v>
      </c>
      <c r="F7" s="184">
        <v>101332</v>
      </c>
      <c r="G7" s="184">
        <v>101372</v>
      </c>
      <c r="H7" s="185">
        <v>98094.701620000007</v>
      </c>
      <c r="I7" s="185">
        <v>98022.064669999992</v>
      </c>
      <c r="J7" s="184">
        <v>124979.82778000001</v>
      </c>
      <c r="K7" s="184">
        <v>112485</v>
      </c>
      <c r="L7" s="184">
        <v>189809.06040000002</v>
      </c>
      <c r="M7" s="184">
        <v>141929</v>
      </c>
      <c r="N7" s="184">
        <v>155792</v>
      </c>
      <c r="O7" s="184">
        <v>154187.88456000001</v>
      </c>
      <c r="P7" s="184">
        <v>225638.96049</v>
      </c>
      <c r="Q7" s="184">
        <v>125023.45175000001</v>
      </c>
      <c r="R7" s="184">
        <v>133313</v>
      </c>
      <c r="S7" s="184">
        <v>85900</v>
      </c>
      <c r="T7" s="184">
        <v>188433</v>
      </c>
      <c r="U7" s="184">
        <v>220865</v>
      </c>
      <c r="V7" s="184">
        <v>321343.48</v>
      </c>
      <c r="W7" s="185">
        <v>339196.31</v>
      </c>
      <c r="X7" s="184">
        <v>371422.01</v>
      </c>
      <c r="Y7" s="184">
        <v>495406</v>
      </c>
      <c r="Z7" s="184">
        <v>549537</v>
      </c>
      <c r="AA7" s="184">
        <v>498249</v>
      </c>
      <c r="AB7" s="184">
        <v>552723</v>
      </c>
      <c r="AC7" s="184">
        <v>464102</v>
      </c>
      <c r="AD7" s="184">
        <v>458180</v>
      </c>
      <c r="AE7" s="184">
        <v>255845</v>
      </c>
      <c r="AF7" s="184">
        <v>209210</v>
      </c>
      <c r="AG7" s="239"/>
      <c r="AH7" s="239"/>
      <c r="AI7" s="239"/>
    </row>
    <row r="8" spans="1:35" s="232" customFormat="1" thickBot="1">
      <c r="A8" s="229" t="s">
        <v>619</v>
      </c>
      <c r="B8" s="229" t="s">
        <v>553</v>
      </c>
      <c r="C8" s="189">
        <v>102</v>
      </c>
      <c r="D8" s="189">
        <v>156</v>
      </c>
      <c r="E8" s="189">
        <v>123</v>
      </c>
      <c r="F8" s="189">
        <v>119</v>
      </c>
      <c r="G8" s="189">
        <v>104</v>
      </c>
      <c r="H8" s="190">
        <v>193.88719999999998</v>
      </c>
      <c r="I8" s="190">
        <v>289.49599999999998</v>
      </c>
      <c r="J8" s="184">
        <v>141.9588</v>
      </c>
      <c r="K8" s="184">
        <v>210</v>
      </c>
      <c r="L8" s="184">
        <v>49.766399999999997</v>
      </c>
      <c r="M8" s="184">
        <v>212</v>
      </c>
      <c r="N8" s="184">
        <v>258</v>
      </c>
      <c r="O8" s="184">
        <v>245.11790000000002</v>
      </c>
      <c r="P8" s="184">
        <v>280.33609999999999</v>
      </c>
      <c r="Q8" s="184">
        <v>284.54050000000001</v>
      </c>
      <c r="R8" s="184">
        <v>140</v>
      </c>
      <c r="S8" s="184">
        <v>145</v>
      </c>
      <c r="T8" s="184">
        <v>121</v>
      </c>
      <c r="U8" s="184">
        <v>105</v>
      </c>
      <c r="V8" s="184">
        <v>87.97</v>
      </c>
      <c r="W8" s="185">
        <v>112.83</v>
      </c>
      <c r="X8" s="184">
        <v>122.99</v>
      </c>
      <c r="Y8" s="184">
        <v>115</v>
      </c>
      <c r="Z8" s="184">
        <v>175</v>
      </c>
      <c r="AA8" s="184">
        <v>121.12</v>
      </c>
      <c r="AB8" s="184">
        <v>120</v>
      </c>
      <c r="AC8" s="184">
        <v>179</v>
      </c>
      <c r="AD8" s="184">
        <v>104</v>
      </c>
      <c r="AE8" s="184">
        <v>115</v>
      </c>
      <c r="AF8" s="184">
        <v>189</v>
      </c>
    </row>
    <row r="9" spans="1:35" s="232" customFormat="1" thickBot="1">
      <c r="A9" s="229" t="s">
        <v>17</v>
      </c>
      <c r="B9" s="229" t="s">
        <v>226</v>
      </c>
      <c r="C9" s="189">
        <v>338359</v>
      </c>
      <c r="D9" s="189">
        <v>1666376</v>
      </c>
      <c r="E9" s="189">
        <v>1241567</v>
      </c>
      <c r="F9" s="189">
        <v>1158353</v>
      </c>
      <c r="G9" s="189">
        <v>693242</v>
      </c>
      <c r="H9" s="190">
        <v>773269</v>
      </c>
      <c r="I9" s="190">
        <v>698615</v>
      </c>
      <c r="J9" s="184">
        <v>751123.99997999996</v>
      </c>
      <c r="K9" s="184">
        <v>874033</v>
      </c>
      <c r="L9" s="184">
        <v>605713</v>
      </c>
      <c r="M9" s="184">
        <v>337016</v>
      </c>
      <c r="N9" s="184">
        <v>324305</v>
      </c>
      <c r="O9" s="184">
        <v>269413</v>
      </c>
      <c r="P9" s="184">
        <v>163881</v>
      </c>
      <c r="Q9" s="184">
        <v>101312</v>
      </c>
      <c r="R9" s="184">
        <v>150092</v>
      </c>
      <c r="S9" s="184">
        <v>86438</v>
      </c>
      <c r="T9" s="184">
        <v>100479</v>
      </c>
      <c r="U9" s="184">
        <v>30474</v>
      </c>
      <c r="V9" s="184">
        <v>148347.41</v>
      </c>
      <c r="W9" s="185">
        <v>24209.95</v>
      </c>
      <c r="X9" s="184">
        <v>156412.98000000001</v>
      </c>
      <c r="Y9" s="184">
        <v>197197</v>
      </c>
      <c r="Z9" s="184">
        <v>235520</v>
      </c>
      <c r="AA9" s="184">
        <v>110553.71</v>
      </c>
      <c r="AB9" s="184">
        <v>445604</v>
      </c>
      <c r="AC9" s="184">
        <v>168709</v>
      </c>
      <c r="AD9" s="184">
        <v>327761</v>
      </c>
      <c r="AE9" s="184">
        <v>555364</v>
      </c>
      <c r="AF9" s="184">
        <v>558388</v>
      </c>
      <c r="AG9" s="239"/>
      <c r="AH9" s="239"/>
      <c r="AI9" s="239"/>
    </row>
    <row r="10" spans="1:35" s="232" customFormat="1" thickBot="1">
      <c r="A10" s="230" t="s">
        <v>288</v>
      </c>
      <c r="B10" s="230" t="s">
        <v>554</v>
      </c>
      <c r="C10" s="191">
        <v>0</v>
      </c>
      <c r="D10" s="191">
        <v>49717</v>
      </c>
      <c r="E10" s="191">
        <v>57444</v>
      </c>
      <c r="F10" s="191">
        <v>61604</v>
      </c>
      <c r="G10" s="191">
        <v>64796</v>
      </c>
      <c r="H10" s="192">
        <v>73778</v>
      </c>
      <c r="I10" s="192">
        <v>98082</v>
      </c>
      <c r="J10" s="188">
        <v>147875</v>
      </c>
      <c r="K10" s="188">
        <v>169610</v>
      </c>
      <c r="L10" s="188">
        <v>169610</v>
      </c>
      <c r="M10" s="188">
        <v>177097</v>
      </c>
      <c r="N10" s="188">
        <v>188628</v>
      </c>
      <c r="O10" s="188">
        <v>251107</v>
      </c>
      <c r="P10" s="188">
        <v>255143</v>
      </c>
      <c r="Q10" s="188">
        <v>158516</v>
      </c>
      <c r="R10" s="188">
        <v>194622</v>
      </c>
      <c r="S10" s="188">
        <v>265903</v>
      </c>
      <c r="T10" s="188">
        <v>257121</v>
      </c>
      <c r="U10" s="188">
        <v>249085</v>
      </c>
      <c r="V10" s="191">
        <v>255328.58000000002</v>
      </c>
      <c r="W10" s="192">
        <v>201036.02000000002</v>
      </c>
      <c r="X10" s="191">
        <v>142879.06</v>
      </c>
      <c r="Y10" s="191">
        <v>143815</v>
      </c>
      <c r="Z10" s="191">
        <v>146177</v>
      </c>
      <c r="AA10" s="191">
        <v>147623.4</v>
      </c>
      <c r="AB10" s="191">
        <v>154635</v>
      </c>
      <c r="AC10" s="191">
        <v>149835</v>
      </c>
      <c r="AD10" s="191">
        <v>131720</v>
      </c>
      <c r="AE10" s="191">
        <v>118399</v>
      </c>
      <c r="AF10" s="191">
        <v>120722</v>
      </c>
      <c r="AG10" s="239"/>
      <c r="AH10" s="239"/>
      <c r="AI10" s="239"/>
    </row>
    <row r="11" spans="1:35" s="232" customFormat="1" thickBot="1">
      <c r="A11" s="227" t="s">
        <v>619</v>
      </c>
      <c r="B11" s="227" t="s">
        <v>553</v>
      </c>
      <c r="C11" s="184">
        <v>0</v>
      </c>
      <c r="D11" s="184">
        <v>19232</v>
      </c>
      <c r="E11" s="184">
        <v>20439</v>
      </c>
      <c r="F11" s="184">
        <v>20439</v>
      </c>
      <c r="G11" s="184">
        <v>21609</v>
      </c>
      <c r="H11" s="185">
        <v>21609</v>
      </c>
      <c r="I11" s="185">
        <v>21609</v>
      </c>
      <c r="J11" s="184">
        <v>66609</v>
      </c>
      <c r="K11" s="184">
        <v>66609</v>
      </c>
      <c r="L11" s="184">
        <v>66609</v>
      </c>
      <c r="M11" s="184">
        <v>66609</v>
      </c>
      <c r="N11" s="184">
        <v>142305</v>
      </c>
      <c r="O11" s="184">
        <v>200772</v>
      </c>
      <c r="P11" s="184">
        <v>203707</v>
      </c>
      <c r="Q11" s="184">
        <v>103072</v>
      </c>
      <c r="R11" s="184">
        <v>139178</v>
      </c>
      <c r="S11" s="184">
        <v>138404</v>
      </c>
      <c r="T11" s="184">
        <v>122786</v>
      </c>
      <c r="U11" s="184">
        <v>120092</v>
      </c>
      <c r="V11" s="184">
        <v>186631.17</v>
      </c>
      <c r="W11" s="185">
        <v>128979.13</v>
      </c>
      <c r="X11" s="184">
        <v>66609</v>
      </c>
      <c r="Y11" s="184">
        <v>66609</v>
      </c>
      <c r="Z11" s="184">
        <v>66609</v>
      </c>
      <c r="AA11" s="184">
        <v>66609</v>
      </c>
      <c r="AB11" s="184">
        <v>66609</v>
      </c>
      <c r="AC11" s="184">
        <v>66609</v>
      </c>
      <c r="AD11" s="184">
        <v>89292</v>
      </c>
      <c r="AE11" s="184">
        <v>66609</v>
      </c>
      <c r="AF11" s="184">
        <v>66609</v>
      </c>
      <c r="AG11" s="239"/>
      <c r="AH11" s="239"/>
      <c r="AI11" s="239"/>
    </row>
    <row r="12" spans="1:35" s="232" customFormat="1" thickBot="1">
      <c r="A12" s="229" t="s">
        <v>17</v>
      </c>
      <c r="B12" s="229" t="s">
        <v>226</v>
      </c>
      <c r="C12" s="184">
        <v>0</v>
      </c>
      <c r="D12" s="184">
        <v>30485</v>
      </c>
      <c r="E12" s="184">
        <v>37005</v>
      </c>
      <c r="F12" s="184">
        <v>41165</v>
      </c>
      <c r="G12" s="184">
        <v>43187</v>
      </c>
      <c r="H12" s="185">
        <v>52169</v>
      </c>
      <c r="I12" s="185">
        <v>76473</v>
      </c>
      <c r="J12" s="184">
        <v>81266</v>
      </c>
      <c r="K12" s="184">
        <v>103001</v>
      </c>
      <c r="L12" s="184">
        <v>103001</v>
      </c>
      <c r="M12" s="184">
        <v>110488</v>
      </c>
      <c r="N12" s="184">
        <v>46323</v>
      </c>
      <c r="O12" s="184">
        <v>50335</v>
      </c>
      <c r="P12" s="184">
        <v>51436</v>
      </c>
      <c r="Q12" s="184">
        <v>55444</v>
      </c>
      <c r="R12" s="184">
        <v>55444</v>
      </c>
      <c r="S12" s="184">
        <v>127499</v>
      </c>
      <c r="T12" s="184">
        <v>134335</v>
      </c>
      <c r="U12" s="184">
        <v>128993</v>
      </c>
      <c r="V12" s="184">
        <v>68697.41</v>
      </c>
      <c r="W12" s="185">
        <v>72056.89</v>
      </c>
      <c r="X12" s="184">
        <v>76270.06</v>
      </c>
      <c r="Y12" s="184">
        <v>77206</v>
      </c>
      <c r="Z12" s="184">
        <v>79568</v>
      </c>
      <c r="AA12" s="184">
        <v>81014.399999999994</v>
      </c>
      <c r="AB12" s="184">
        <v>88026</v>
      </c>
      <c r="AC12" s="184">
        <v>83226</v>
      </c>
      <c r="AD12" s="184">
        <v>42428</v>
      </c>
      <c r="AE12" s="184">
        <v>51790</v>
      </c>
      <c r="AF12" s="184">
        <v>54113</v>
      </c>
      <c r="AG12" s="239"/>
      <c r="AH12" s="239"/>
      <c r="AI12" s="239"/>
    </row>
    <row r="13" spans="1:35" s="232" customFormat="1" thickBot="1">
      <c r="A13" s="230" t="s">
        <v>620</v>
      </c>
      <c r="B13" s="230" t="s">
        <v>555</v>
      </c>
      <c r="C13" s="191">
        <v>19066946</v>
      </c>
      <c r="D13" s="191">
        <v>18052112</v>
      </c>
      <c r="E13" s="191">
        <v>16967949</v>
      </c>
      <c r="F13" s="191">
        <v>16970243</v>
      </c>
      <c r="G13" s="191">
        <v>22133938</v>
      </c>
      <c r="H13" s="192">
        <v>22875842.625999998</v>
      </c>
      <c r="I13" s="192">
        <v>18725966.680919997</v>
      </c>
      <c r="J13" s="188">
        <v>21102026.322540004</v>
      </c>
      <c r="K13" s="188">
        <v>21870164</v>
      </c>
      <c r="L13" s="188">
        <v>22124984.676999997</v>
      </c>
      <c r="M13" s="188">
        <v>26105506</v>
      </c>
      <c r="N13" s="188">
        <v>24795607</v>
      </c>
      <c r="O13" s="188">
        <v>18642615</v>
      </c>
      <c r="P13" s="188">
        <v>22755126.517229997</v>
      </c>
      <c r="Q13" s="188">
        <v>22010922.204999998</v>
      </c>
      <c r="R13" s="188">
        <v>21015843</v>
      </c>
      <c r="S13" s="188">
        <v>17997699</v>
      </c>
      <c r="T13" s="188">
        <v>17707350</v>
      </c>
      <c r="U13" s="188">
        <v>17786074</v>
      </c>
      <c r="V13" s="191">
        <v>14000568.440000001</v>
      </c>
      <c r="W13" s="192">
        <v>16505605.949999999</v>
      </c>
      <c r="X13" s="191">
        <v>18192605.379999999</v>
      </c>
      <c r="Y13" s="191">
        <v>14681777</v>
      </c>
      <c r="Z13" s="191">
        <v>21639751</v>
      </c>
      <c r="AA13" s="191">
        <v>22096199.34</v>
      </c>
      <c r="AB13" s="191">
        <v>26953826</v>
      </c>
      <c r="AC13" s="191">
        <v>28544165</v>
      </c>
      <c r="AD13" s="191">
        <v>23407725</v>
      </c>
      <c r="AE13" s="191">
        <v>29255449</v>
      </c>
      <c r="AF13" s="191">
        <v>31371557</v>
      </c>
      <c r="AG13" s="239"/>
      <c r="AH13" s="239"/>
      <c r="AI13" s="239"/>
    </row>
    <row r="14" spans="1:35" s="232" customFormat="1" thickBot="1">
      <c r="A14" s="229" t="s">
        <v>619</v>
      </c>
      <c r="B14" s="229" t="s">
        <v>553</v>
      </c>
      <c r="C14" s="189">
        <v>50091</v>
      </c>
      <c r="D14" s="189">
        <v>26093</v>
      </c>
      <c r="E14" s="189">
        <v>26209</v>
      </c>
      <c r="F14" s="189">
        <v>26258</v>
      </c>
      <c r="G14" s="189">
        <v>29299</v>
      </c>
      <c r="H14" s="190">
        <v>29315.421000000002</v>
      </c>
      <c r="I14" s="190">
        <v>29340.071000000004</v>
      </c>
      <c r="J14" s="184">
        <v>29485.471000000005</v>
      </c>
      <c r="K14" s="184">
        <v>29643</v>
      </c>
      <c r="L14" s="184">
        <v>29630.921000000002</v>
      </c>
      <c r="M14" s="184">
        <v>29676</v>
      </c>
      <c r="N14" s="184">
        <v>29705</v>
      </c>
      <c r="O14" s="184">
        <v>29538</v>
      </c>
      <c r="P14" s="184">
        <v>29546.516230000008</v>
      </c>
      <c r="Q14" s="184">
        <v>29549.291600000026</v>
      </c>
      <c r="R14" s="184">
        <v>29514</v>
      </c>
      <c r="S14" s="184">
        <v>28727</v>
      </c>
      <c r="T14" s="184">
        <v>28727</v>
      </c>
      <c r="U14" s="184">
        <v>28791</v>
      </c>
      <c r="V14" s="184">
        <v>28789.63</v>
      </c>
      <c r="W14" s="185">
        <v>24396.44</v>
      </c>
      <c r="X14" s="184">
        <v>24395.360000000001</v>
      </c>
      <c r="Y14" s="184">
        <v>24378</v>
      </c>
      <c r="Z14" s="184">
        <v>24392</v>
      </c>
      <c r="AA14" s="184">
        <v>28792.74</v>
      </c>
      <c r="AB14" s="184">
        <v>28789</v>
      </c>
      <c r="AC14" s="184">
        <v>28790</v>
      </c>
      <c r="AD14" s="184">
        <v>28788</v>
      </c>
      <c r="AE14" s="184">
        <v>36712</v>
      </c>
      <c r="AF14" s="184">
        <v>36842</v>
      </c>
      <c r="AG14" s="239"/>
      <c r="AH14" s="239"/>
      <c r="AI14" s="239"/>
    </row>
    <row r="15" spans="1:35" s="232" customFormat="1" thickBot="1">
      <c r="A15" s="229" t="s">
        <v>17</v>
      </c>
      <c r="B15" s="229" t="s">
        <v>226</v>
      </c>
      <c r="C15" s="189">
        <v>19016855</v>
      </c>
      <c r="D15" s="189">
        <v>18026019</v>
      </c>
      <c r="E15" s="189">
        <v>16941740</v>
      </c>
      <c r="F15" s="189">
        <v>16943985</v>
      </c>
      <c r="G15" s="189">
        <v>22104639</v>
      </c>
      <c r="H15" s="190">
        <v>22846527.204999998</v>
      </c>
      <c r="I15" s="190">
        <v>18696626.609919999</v>
      </c>
      <c r="J15" s="184">
        <v>21072540.851540003</v>
      </c>
      <c r="K15" s="184">
        <v>21840521</v>
      </c>
      <c r="L15" s="184">
        <v>22095353.755999997</v>
      </c>
      <c r="M15" s="184">
        <v>26075830</v>
      </c>
      <c r="N15" s="184">
        <v>24765902</v>
      </c>
      <c r="O15" s="184">
        <v>18613077</v>
      </c>
      <c r="P15" s="184">
        <v>22725580.000999998</v>
      </c>
      <c r="Q15" s="184">
        <v>21981372.913399998</v>
      </c>
      <c r="R15" s="184">
        <v>20986329</v>
      </c>
      <c r="S15" s="184">
        <v>17968972</v>
      </c>
      <c r="T15" s="184">
        <v>17678623</v>
      </c>
      <c r="U15" s="184">
        <v>17757283</v>
      </c>
      <c r="V15" s="184">
        <v>13971778.810000001</v>
      </c>
      <c r="W15" s="185">
        <v>16481209.51</v>
      </c>
      <c r="X15" s="184">
        <v>18168210.02</v>
      </c>
      <c r="Y15" s="184">
        <v>14657399</v>
      </c>
      <c r="Z15" s="184">
        <v>21615359</v>
      </c>
      <c r="AA15" s="184">
        <v>22067406.600000001</v>
      </c>
      <c r="AB15" s="184">
        <v>26925037</v>
      </c>
      <c r="AC15" s="184">
        <v>28515375</v>
      </c>
      <c r="AD15" s="184">
        <v>23378937</v>
      </c>
      <c r="AE15" s="184">
        <v>29218737</v>
      </c>
      <c r="AF15" s="184">
        <v>31334715</v>
      </c>
      <c r="AG15" s="239"/>
      <c r="AH15" s="239"/>
      <c r="AI15" s="239"/>
    </row>
    <row r="16" spans="1:35" s="232" customFormat="1" thickBot="1">
      <c r="A16" s="230" t="s">
        <v>621</v>
      </c>
      <c r="B16" s="230" t="s">
        <v>556</v>
      </c>
      <c r="C16" s="193">
        <v>47411078</v>
      </c>
      <c r="D16" s="193">
        <v>47999657</v>
      </c>
      <c r="E16" s="193">
        <v>50255867</v>
      </c>
      <c r="F16" s="193">
        <v>50915176</v>
      </c>
      <c r="G16" s="193">
        <v>52711680</v>
      </c>
      <c r="H16" s="194">
        <v>53939775.590312727</v>
      </c>
      <c r="I16" s="194">
        <v>67855208.774881542</v>
      </c>
      <c r="J16" s="188">
        <v>69481058.267252222</v>
      </c>
      <c r="K16" s="188">
        <v>69615390</v>
      </c>
      <c r="L16" s="188">
        <v>72045583.335323229</v>
      </c>
      <c r="M16" s="188">
        <v>71339609</v>
      </c>
      <c r="N16" s="188">
        <v>72421412</v>
      </c>
      <c r="O16" s="188">
        <v>73639342</v>
      </c>
      <c r="P16" s="188">
        <v>74635652.359914601</v>
      </c>
      <c r="Q16" s="188">
        <v>75794251.092729166</v>
      </c>
      <c r="R16" s="188">
        <v>77279678</v>
      </c>
      <c r="S16" s="188">
        <v>78603326</v>
      </c>
      <c r="T16" s="188">
        <v>78702577</v>
      </c>
      <c r="U16" s="188">
        <v>79341857</v>
      </c>
      <c r="V16" s="193">
        <v>78965472.870000005</v>
      </c>
      <c r="W16" s="194">
        <v>76565163.070000008</v>
      </c>
      <c r="X16" s="193">
        <v>75380270.459999993</v>
      </c>
      <c r="Y16" s="193">
        <v>74152070</v>
      </c>
      <c r="Z16" s="193">
        <v>73983320</v>
      </c>
      <c r="AA16" s="193">
        <v>73643059.86999999</v>
      </c>
      <c r="AB16" s="193">
        <v>73910677</v>
      </c>
      <c r="AC16" s="193">
        <v>74645200</v>
      </c>
      <c r="AD16" s="193">
        <v>75542305</v>
      </c>
      <c r="AE16" s="193">
        <v>74981215</v>
      </c>
      <c r="AF16" s="193">
        <v>74540899</v>
      </c>
      <c r="AG16" s="239"/>
      <c r="AH16" s="239"/>
      <c r="AI16" s="239"/>
    </row>
    <row r="17" spans="1:35" s="232" customFormat="1" thickBot="1">
      <c r="A17" s="229" t="s">
        <v>622</v>
      </c>
      <c r="B17" s="229" t="s">
        <v>557</v>
      </c>
      <c r="C17" s="189">
        <v>0</v>
      </c>
      <c r="D17" s="184">
        <v>1104904</v>
      </c>
      <c r="E17" s="189">
        <v>1153901</v>
      </c>
      <c r="F17" s="189">
        <v>1192617</v>
      </c>
      <c r="G17" s="189">
        <v>1250525</v>
      </c>
      <c r="H17" s="190">
        <v>1240911</v>
      </c>
      <c r="I17" s="190">
        <v>1341424</v>
      </c>
      <c r="J17" s="184">
        <v>1435612</v>
      </c>
      <c r="K17" s="184">
        <v>1498195</v>
      </c>
      <c r="L17" s="184">
        <v>1475514</v>
      </c>
      <c r="M17" s="184">
        <v>1480998</v>
      </c>
      <c r="N17" s="184">
        <v>1586693</v>
      </c>
      <c r="O17" s="184">
        <v>1615753</v>
      </c>
      <c r="P17" s="184">
        <v>1632385</v>
      </c>
      <c r="Q17" s="184">
        <v>1671619</v>
      </c>
      <c r="R17" s="184">
        <v>497780</v>
      </c>
      <c r="S17" s="184">
        <v>362992</v>
      </c>
      <c r="T17" s="184">
        <v>296693</v>
      </c>
      <c r="U17" s="184">
        <v>189813</v>
      </c>
      <c r="V17" s="184">
        <v>135100.14000000001</v>
      </c>
      <c r="W17" s="185">
        <v>97982.01</v>
      </c>
      <c r="X17" s="184">
        <v>75078.39</v>
      </c>
      <c r="Y17" s="184">
        <v>54780</v>
      </c>
      <c r="Z17" s="184">
        <v>23612</v>
      </c>
      <c r="AA17" s="184">
        <v>19348.849999999999</v>
      </c>
      <c r="AB17" s="184">
        <v>7226</v>
      </c>
      <c r="AC17" s="184">
        <v>5905</v>
      </c>
      <c r="AD17" s="184">
        <v>4728</v>
      </c>
      <c r="AE17" s="184">
        <v>1825</v>
      </c>
      <c r="AF17" s="184">
        <v>1466</v>
      </c>
      <c r="AG17" s="239"/>
      <c r="AH17" s="239"/>
      <c r="AI17" s="239"/>
    </row>
    <row r="18" spans="1:35" s="232" customFormat="1" thickBot="1">
      <c r="A18" s="229" t="s">
        <v>623</v>
      </c>
      <c r="B18" s="229" t="s">
        <v>558</v>
      </c>
      <c r="C18" s="189">
        <v>47411078</v>
      </c>
      <c r="D18" s="184">
        <v>46894753</v>
      </c>
      <c r="E18" s="189">
        <v>49101966</v>
      </c>
      <c r="F18" s="189">
        <v>49722559</v>
      </c>
      <c r="G18" s="189">
        <v>51461155</v>
      </c>
      <c r="H18" s="190">
        <v>52698864.590312727</v>
      </c>
      <c r="I18" s="190">
        <v>66513784.774881542</v>
      </c>
      <c r="J18" s="184">
        <v>68045446.267252222</v>
      </c>
      <c r="K18" s="184">
        <v>68117195</v>
      </c>
      <c r="L18" s="184">
        <v>70570069.335323229</v>
      </c>
      <c r="M18" s="184">
        <v>69858611</v>
      </c>
      <c r="N18" s="184">
        <v>70834719</v>
      </c>
      <c r="O18" s="184">
        <v>72023589</v>
      </c>
      <c r="P18" s="184">
        <v>73003267.359914601</v>
      </c>
      <c r="Q18" s="184">
        <v>74122632.092729166</v>
      </c>
      <c r="R18" s="184">
        <v>76781898</v>
      </c>
      <c r="S18" s="184">
        <v>78240334</v>
      </c>
      <c r="T18" s="184">
        <v>78405884</v>
      </c>
      <c r="U18" s="184">
        <v>79152044</v>
      </c>
      <c r="V18" s="184">
        <v>78830372.730000004</v>
      </c>
      <c r="W18" s="185">
        <v>76467181.060000002</v>
      </c>
      <c r="X18" s="184">
        <v>75305192.069999993</v>
      </c>
      <c r="Y18" s="184">
        <v>74097290</v>
      </c>
      <c r="Z18" s="184">
        <v>73959708</v>
      </c>
      <c r="AA18" s="184">
        <v>73623711.019999996</v>
      </c>
      <c r="AB18" s="184">
        <v>73903451</v>
      </c>
      <c r="AC18" s="184">
        <v>74639295</v>
      </c>
      <c r="AD18" s="184">
        <v>75537577</v>
      </c>
      <c r="AE18" s="184">
        <v>74979390</v>
      </c>
      <c r="AF18" s="184">
        <v>74539433</v>
      </c>
      <c r="AG18" s="239"/>
      <c r="AH18" s="239"/>
      <c r="AI18" s="239"/>
    </row>
    <row r="19" spans="1:35" s="232" customFormat="1" thickBot="1">
      <c r="A19" s="230" t="s">
        <v>624</v>
      </c>
      <c r="B19" s="230" t="s">
        <v>265</v>
      </c>
      <c r="C19" s="191">
        <v>254205</v>
      </c>
      <c r="D19" s="191">
        <v>637277</v>
      </c>
      <c r="E19" s="191">
        <v>676243</v>
      </c>
      <c r="F19" s="191">
        <v>645159</v>
      </c>
      <c r="G19" s="191">
        <v>1026420</v>
      </c>
      <c r="H19" s="192">
        <v>1256877.1884399999</v>
      </c>
      <c r="I19" s="192">
        <v>842182.28211000003</v>
      </c>
      <c r="J19" s="188">
        <v>1129766.3738600002</v>
      </c>
      <c r="K19" s="188">
        <v>1037869</v>
      </c>
      <c r="L19" s="188">
        <v>2179224.5639399993</v>
      </c>
      <c r="M19" s="188">
        <v>985092</v>
      </c>
      <c r="N19" s="188">
        <v>946625</v>
      </c>
      <c r="O19" s="188">
        <v>730598</v>
      </c>
      <c r="P19" s="188">
        <v>668273.22984000004</v>
      </c>
      <c r="Q19" s="188">
        <v>660924.38944000006</v>
      </c>
      <c r="R19" s="188">
        <v>624781</v>
      </c>
      <c r="S19" s="188">
        <v>1076456</v>
      </c>
      <c r="T19" s="188">
        <v>1801672</v>
      </c>
      <c r="U19" s="188">
        <v>2703565</v>
      </c>
      <c r="V19" s="191">
        <v>3332902.0400000005</v>
      </c>
      <c r="W19" s="192">
        <v>4631169.9000000004</v>
      </c>
      <c r="X19" s="191">
        <v>10907827.719999999</v>
      </c>
      <c r="Y19" s="191">
        <v>15047887</v>
      </c>
      <c r="Z19" s="191">
        <v>19438245</v>
      </c>
      <c r="AA19" s="191">
        <v>20706585.520000003</v>
      </c>
      <c r="AB19" s="191">
        <v>21647640</v>
      </c>
      <c r="AC19" s="191">
        <v>22099071</v>
      </c>
      <c r="AD19" s="191">
        <v>25153657</v>
      </c>
      <c r="AE19" s="191">
        <v>25010220</v>
      </c>
      <c r="AF19" s="191">
        <v>27435265</v>
      </c>
      <c r="AG19" s="239"/>
      <c r="AH19" s="239"/>
      <c r="AI19" s="239"/>
    </row>
    <row r="20" spans="1:35" s="232" customFormat="1" thickBot="1">
      <c r="A20" s="229" t="s">
        <v>17</v>
      </c>
      <c r="B20" s="229" t="s">
        <v>226</v>
      </c>
      <c r="C20" s="189">
        <v>0</v>
      </c>
      <c r="D20" s="189">
        <v>48166</v>
      </c>
      <c r="E20" s="189">
        <v>47446</v>
      </c>
      <c r="F20" s="189">
        <v>50290</v>
      </c>
      <c r="G20" s="189">
        <v>44884</v>
      </c>
      <c r="H20" s="190">
        <v>45039</v>
      </c>
      <c r="I20" s="190">
        <v>56881</v>
      </c>
      <c r="J20" s="184">
        <v>55353</v>
      </c>
      <c r="K20" s="184">
        <v>48153</v>
      </c>
      <c r="L20" s="184">
        <v>48355</v>
      </c>
      <c r="M20" s="184">
        <v>43879</v>
      </c>
      <c r="N20" s="184">
        <v>42946</v>
      </c>
      <c r="O20" s="184">
        <v>38818</v>
      </c>
      <c r="P20" s="184">
        <v>38902</v>
      </c>
      <c r="Q20" s="184">
        <v>37057</v>
      </c>
      <c r="R20" s="184">
        <v>37156</v>
      </c>
      <c r="S20" s="184">
        <v>37088</v>
      </c>
      <c r="T20" s="184">
        <v>789465</v>
      </c>
      <c r="U20" s="184">
        <v>1615236</v>
      </c>
      <c r="V20" s="184">
        <v>2142155.9900000002</v>
      </c>
      <c r="W20" s="185">
        <v>3893212.35</v>
      </c>
      <c r="X20" s="184">
        <v>10322224.35</v>
      </c>
      <c r="Y20" s="184">
        <v>14467969</v>
      </c>
      <c r="Z20" s="184">
        <v>16892500</v>
      </c>
      <c r="AA20" s="184">
        <v>18749907.050000001</v>
      </c>
      <c r="AB20" s="184">
        <v>20789685</v>
      </c>
      <c r="AC20" s="184">
        <v>21412853</v>
      </c>
      <c r="AD20" s="184">
        <v>24518861</v>
      </c>
      <c r="AE20" s="184">
        <v>24381485</v>
      </c>
      <c r="AF20" s="184">
        <v>26356628</v>
      </c>
      <c r="AG20" s="239"/>
      <c r="AH20" s="239"/>
      <c r="AI20" s="239"/>
    </row>
    <row r="21" spans="1:35" s="232" customFormat="1" thickBot="1">
      <c r="A21" s="229" t="s">
        <v>227</v>
      </c>
      <c r="B21" s="229" t="s">
        <v>271</v>
      </c>
      <c r="C21" s="184">
        <v>254205</v>
      </c>
      <c r="D21" s="184">
        <v>448155</v>
      </c>
      <c r="E21" s="184">
        <v>519950</v>
      </c>
      <c r="F21" s="184">
        <v>528384</v>
      </c>
      <c r="G21" s="184">
        <v>731252</v>
      </c>
      <c r="H21" s="185">
        <v>414429.18844</v>
      </c>
      <c r="I21" s="185">
        <v>711642.28211000003</v>
      </c>
      <c r="J21" s="184">
        <v>1023868.3738600002</v>
      </c>
      <c r="K21" s="184">
        <v>784277</v>
      </c>
      <c r="L21" s="184">
        <v>2018926.5639399993</v>
      </c>
      <c r="M21" s="184">
        <v>875837</v>
      </c>
      <c r="N21" s="184">
        <v>862165</v>
      </c>
      <c r="O21" s="184">
        <v>625430</v>
      </c>
      <c r="P21" s="184">
        <v>605247.22984000004</v>
      </c>
      <c r="Q21" s="184">
        <v>605506.38944000006</v>
      </c>
      <c r="R21" s="184">
        <v>578225</v>
      </c>
      <c r="S21" s="184">
        <v>770531</v>
      </c>
      <c r="T21" s="184">
        <v>986269</v>
      </c>
      <c r="U21" s="184">
        <v>1080106</v>
      </c>
      <c r="V21" s="184">
        <v>1186220.4099999999</v>
      </c>
      <c r="W21" s="185">
        <v>733095.04</v>
      </c>
      <c r="X21" s="184">
        <v>585603.37</v>
      </c>
      <c r="Y21" s="184">
        <v>532220</v>
      </c>
      <c r="Z21" s="184">
        <v>533703</v>
      </c>
      <c r="AA21" s="184">
        <v>793436.46</v>
      </c>
      <c r="AB21" s="184">
        <v>426841</v>
      </c>
      <c r="AC21" s="184">
        <v>488442</v>
      </c>
      <c r="AD21" s="184">
        <v>418445</v>
      </c>
      <c r="AE21" s="184">
        <v>434517</v>
      </c>
      <c r="AF21" s="184">
        <v>627891</v>
      </c>
      <c r="AG21" s="239"/>
      <c r="AH21" s="239"/>
      <c r="AI21" s="239"/>
    </row>
    <row r="22" spans="1:35" s="232" customFormat="1" thickBot="1">
      <c r="A22" s="229" t="s">
        <v>625</v>
      </c>
      <c r="B22" s="229" t="s">
        <v>228</v>
      </c>
      <c r="C22" s="184">
        <v>0</v>
      </c>
      <c r="D22" s="184">
        <v>140956</v>
      </c>
      <c r="E22" s="184">
        <v>108847</v>
      </c>
      <c r="F22" s="184">
        <v>66485</v>
      </c>
      <c r="G22" s="184">
        <v>250284</v>
      </c>
      <c r="H22" s="185">
        <v>797409</v>
      </c>
      <c r="I22" s="185">
        <v>73659</v>
      </c>
      <c r="J22" s="184">
        <v>50545</v>
      </c>
      <c r="K22" s="184">
        <v>205439</v>
      </c>
      <c r="L22" s="184">
        <v>111943</v>
      </c>
      <c r="M22" s="184">
        <v>65376</v>
      </c>
      <c r="N22" s="184">
        <v>41514</v>
      </c>
      <c r="O22" s="184">
        <v>66350</v>
      </c>
      <c r="P22" s="184">
        <v>24124</v>
      </c>
      <c r="Q22" s="184">
        <v>18361</v>
      </c>
      <c r="R22" s="184">
        <v>9400</v>
      </c>
      <c r="S22" s="184">
        <v>268837</v>
      </c>
      <c r="T22" s="184">
        <v>25938</v>
      </c>
      <c r="U22" s="184">
        <v>8223</v>
      </c>
      <c r="V22" s="184">
        <v>4525.6400000000003</v>
      </c>
      <c r="W22" s="185">
        <v>4862.51</v>
      </c>
      <c r="X22" s="184">
        <v>0</v>
      </c>
      <c r="Y22" s="184">
        <v>47698</v>
      </c>
      <c r="Z22" s="184">
        <v>2012042</v>
      </c>
      <c r="AA22" s="184">
        <v>1163242.01</v>
      </c>
      <c r="AB22" s="184">
        <v>431114</v>
      </c>
      <c r="AC22" s="184">
        <v>197776</v>
      </c>
      <c r="AD22" s="184">
        <v>216351</v>
      </c>
      <c r="AE22" s="184">
        <v>194218</v>
      </c>
      <c r="AF22" s="184">
        <v>450746</v>
      </c>
      <c r="AG22" s="239"/>
      <c r="AH22" s="239"/>
      <c r="AI22" s="239"/>
    </row>
    <row r="23" spans="1:35" s="232" customFormat="1" thickBot="1">
      <c r="A23" s="229" t="s">
        <v>229</v>
      </c>
      <c r="B23" s="229" t="s">
        <v>230</v>
      </c>
      <c r="C23" s="189">
        <v>885880</v>
      </c>
      <c r="D23" s="189">
        <v>516107</v>
      </c>
      <c r="E23" s="189">
        <v>166304</v>
      </c>
      <c r="F23" s="189">
        <v>192167</v>
      </c>
      <c r="G23" s="189">
        <v>125501</v>
      </c>
      <c r="H23" s="190">
        <v>87516</v>
      </c>
      <c r="I23" s="190">
        <v>99864</v>
      </c>
      <c r="J23" s="184">
        <v>8886</v>
      </c>
      <c r="K23" s="184">
        <v>43159</v>
      </c>
      <c r="L23" s="184">
        <v>22195</v>
      </c>
      <c r="M23" s="184">
        <v>86775</v>
      </c>
      <c r="N23" s="184">
        <v>29350</v>
      </c>
      <c r="O23" s="184">
        <v>21795</v>
      </c>
      <c r="P23" s="184">
        <v>33301</v>
      </c>
      <c r="Q23" s="184">
        <v>38102</v>
      </c>
      <c r="R23" s="184">
        <v>4953</v>
      </c>
      <c r="S23" s="184">
        <v>14385</v>
      </c>
      <c r="T23" s="184">
        <v>52245</v>
      </c>
      <c r="U23" s="184">
        <v>0</v>
      </c>
      <c r="V23" s="184">
        <v>0</v>
      </c>
      <c r="W23" s="185">
        <v>135803.6</v>
      </c>
      <c r="X23" s="184">
        <v>60753.77</v>
      </c>
      <c r="Y23" s="184">
        <v>121936</v>
      </c>
      <c r="Z23" s="184">
        <v>0</v>
      </c>
      <c r="AA23" s="184">
        <v>74213</v>
      </c>
      <c r="AB23" s="184">
        <v>116528</v>
      </c>
      <c r="AC23" s="184">
        <v>170655</v>
      </c>
      <c r="AD23" s="184">
        <v>70029</v>
      </c>
      <c r="AE23" s="184">
        <v>112365</v>
      </c>
      <c r="AF23" s="184">
        <v>145545</v>
      </c>
      <c r="AG23" s="239"/>
      <c r="AH23" s="239"/>
      <c r="AI23" s="239"/>
    </row>
    <row r="24" spans="1:35" s="232" customFormat="1" thickBot="1">
      <c r="A24" s="229" t="s">
        <v>231</v>
      </c>
      <c r="B24" s="229" t="s">
        <v>232</v>
      </c>
      <c r="C24" s="189">
        <v>0</v>
      </c>
      <c r="D24" s="189">
        <v>0</v>
      </c>
      <c r="E24" s="189">
        <v>0</v>
      </c>
      <c r="F24" s="189">
        <v>0</v>
      </c>
      <c r="G24" s="189">
        <v>0</v>
      </c>
      <c r="H24" s="190">
        <v>0</v>
      </c>
      <c r="I24" s="190">
        <v>0.20073002527124117</v>
      </c>
      <c r="J24" s="184">
        <v>0.20073002527124117</v>
      </c>
      <c r="K24" s="184">
        <v>0.20073002527124117</v>
      </c>
      <c r="L24" s="184">
        <v>0.20073002530261874</v>
      </c>
      <c r="M24" s="184">
        <v>0.20073002530261874</v>
      </c>
      <c r="N24" s="184">
        <v>0.20073002530261874</v>
      </c>
      <c r="O24" s="184">
        <v>0</v>
      </c>
      <c r="P24" s="184">
        <v>0.20073002530261874</v>
      </c>
      <c r="Q24" s="184">
        <v>0.20073002530261874</v>
      </c>
      <c r="R24" s="184">
        <v>0.20073002530261874</v>
      </c>
      <c r="S24" s="184">
        <v>0.20073002530261874</v>
      </c>
      <c r="T24" s="184">
        <v>0</v>
      </c>
      <c r="U24" s="184">
        <v>0</v>
      </c>
      <c r="V24" s="184">
        <v>0</v>
      </c>
      <c r="W24" s="185">
        <v>0</v>
      </c>
      <c r="X24" s="184">
        <v>43521.88</v>
      </c>
      <c r="Y24" s="184">
        <v>43522</v>
      </c>
      <c r="Z24" s="184">
        <v>43522</v>
      </c>
      <c r="AA24" s="184">
        <v>52509.35</v>
      </c>
      <c r="AB24" s="184">
        <v>52509</v>
      </c>
      <c r="AC24" s="184">
        <v>47612</v>
      </c>
      <c r="AD24" s="184">
        <v>47612</v>
      </c>
      <c r="AE24" s="184">
        <v>44012</v>
      </c>
      <c r="AF24" s="184">
        <v>44012</v>
      </c>
      <c r="AG24" s="239"/>
      <c r="AH24" s="239"/>
      <c r="AI24" s="239"/>
    </row>
    <row r="25" spans="1:35" s="232" customFormat="1" thickBot="1">
      <c r="A25" s="229" t="s">
        <v>626</v>
      </c>
      <c r="B25" s="229" t="s">
        <v>559</v>
      </c>
      <c r="C25" s="189">
        <v>185880</v>
      </c>
      <c r="D25" s="189">
        <v>183506</v>
      </c>
      <c r="E25" s="189">
        <v>189674</v>
      </c>
      <c r="F25" s="189">
        <v>184392</v>
      </c>
      <c r="G25" s="189">
        <v>210641</v>
      </c>
      <c r="H25" s="190">
        <v>537178.64281877608</v>
      </c>
      <c r="I25" s="190">
        <v>650122.40623877605</v>
      </c>
      <c r="J25" s="184">
        <v>663067.32714877604</v>
      </c>
      <c r="K25" s="184">
        <v>666330</v>
      </c>
      <c r="L25" s="184">
        <v>637057.44207877596</v>
      </c>
      <c r="M25" s="184">
        <v>600834</v>
      </c>
      <c r="N25" s="184">
        <v>571831</v>
      </c>
      <c r="O25" s="184">
        <v>571813</v>
      </c>
      <c r="P25" s="184">
        <v>555651.33119877591</v>
      </c>
      <c r="Q25" s="184">
        <v>543762.68745877605</v>
      </c>
      <c r="R25" s="184">
        <v>533736</v>
      </c>
      <c r="S25" s="184">
        <v>549788</v>
      </c>
      <c r="T25" s="184">
        <v>552168</v>
      </c>
      <c r="U25" s="184">
        <v>539860</v>
      </c>
      <c r="V25" s="184">
        <v>530658.28</v>
      </c>
      <c r="W25" s="185">
        <v>572810.23999999999</v>
      </c>
      <c r="X25" s="184">
        <v>566374.71</v>
      </c>
      <c r="Y25" s="184">
        <v>552519</v>
      </c>
      <c r="Z25" s="184">
        <v>550020</v>
      </c>
      <c r="AA25" s="184">
        <v>565630.21</v>
      </c>
      <c r="AB25" s="184">
        <v>559763</v>
      </c>
      <c r="AC25" s="184">
        <v>547916</v>
      </c>
      <c r="AD25" s="184">
        <v>536396</v>
      </c>
      <c r="AE25" s="184">
        <v>588741</v>
      </c>
      <c r="AF25" s="184">
        <v>560587</v>
      </c>
      <c r="AG25" s="239"/>
      <c r="AH25" s="239"/>
      <c r="AI25" s="239"/>
    </row>
    <row r="26" spans="1:35" s="232" customFormat="1" thickBot="1">
      <c r="A26" s="229" t="s">
        <v>627</v>
      </c>
      <c r="B26" s="229" t="s">
        <v>560</v>
      </c>
      <c r="C26" s="189">
        <v>79756</v>
      </c>
      <c r="D26" s="189">
        <v>76007</v>
      </c>
      <c r="E26" s="189">
        <v>74788</v>
      </c>
      <c r="F26" s="189">
        <v>79591</v>
      </c>
      <c r="G26" s="189">
        <v>96464</v>
      </c>
      <c r="H26" s="190">
        <v>93564.062740000008</v>
      </c>
      <c r="I26" s="190">
        <v>278106.14789999987</v>
      </c>
      <c r="J26" s="184">
        <v>305382.90249999997</v>
      </c>
      <c r="K26" s="184">
        <v>342653</v>
      </c>
      <c r="L26" s="184">
        <v>335934.94981999992</v>
      </c>
      <c r="M26" s="184">
        <v>370393</v>
      </c>
      <c r="N26" s="184">
        <v>368800</v>
      </c>
      <c r="O26" s="184">
        <v>384781</v>
      </c>
      <c r="P26" s="184">
        <v>373624.12446999986</v>
      </c>
      <c r="Q26" s="184">
        <v>367932.92964999989</v>
      </c>
      <c r="R26" s="184">
        <v>377321</v>
      </c>
      <c r="S26" s="184">
        <v>392438</v>
      </c>
      <c r="T26" s="184">
        <v>383648</v>
      </c>
      <c r="U26" s="184">
        <v>397897</v>
      </c>
      <c r="V26" s="184">
        <v>415033.82</v>
      </c>
      <c r="W26" s="185">
        <v>436622.11</v>
      </c>
      <c r="X26" s="184">
        <v>435895.61</v>
      </c>
      <c r="Y26" s="184">
        <v>442931</v>
      </c>
      <c r="Z26" s="184">
        <v>458023</v>
      </c>
      <c r="AA26" s="184">
        <v>481630.64</v>
      </c>
      <c r="AB26" s="184">
        <v>480378</v>
      </c>
      <c r="AC26" s="184">
        <v>509447</v>
      </c>
      <c r="AD26" s="184">
        <v>535164</v>
      </c>
      <c r="AE26" s="184">
        <v>557309</v>
      </c>
      <c r="AF26" s="184">
        <v>551047</v>
      </c>
      <c r="AG26" s="239"/>
      <c r="AH26" s="239"/>
      <c r="AI26" s="239"/>
    </row>
    <row r="27" spans="1:35" s="232" customFormat="1" thickBot="1">
      <c r="A27" s="228" t="s">
        <v>628</v>
      </c>
      <c r="B27" s="228" t="s">
        <v>561</v>
      </c>
      <c r="C27" s="186">
        <v>288178</v>
      </c>
      <c r="D27" s="186">
        <v>321885</v>
      </c>
      <c r="E27" s="186">
        <v>329041</v>
      </c>
      <c r="F27" s="186">
        <v>342666</v>
      </c>
      <c r="G27" s="186">
        <v>335726</v>
      </c>
      <c r="H27" s="187">
        <v>387721.46699630696</v>
      </c>
      <c r="I27" s="187">
        <v>542978.87397630699</v>
      </c>
      <c r="J27" s="188">
        <v>528857.2787163069</v>
      </c>
      <c r="K27" s="188">
        <v>541828</v>
      </c>
      <c r="L27" s="188">
        <v>554726.609086307</v>
      </c>
      <c r="M27" s="188">
        <v>540899</v>
      </c>
      <c r="N27" s="188">
        <v>584995</v>
      </c>
      <c r="O27" s="188">
        <v>665174</v>
      </c>
      <c r="P27" s="188">
        <v>682677.87044630689</v>
      </c>
      <c r="Q27" s="188">
        <v>686385.31285630679</v>
      </c>
      <c r="R27" s="188">
        <v>687593</v>
      </c>
      <c r="S27" s="188">
        <v>785750</v>
      </c>
      <c r="T27" s="188">
        <v>775255</v>
      </c>
      <c r="U27" s="188">
        <v>745756</v>
      </c>
      <c r="V27" s="186">
        <v>948301.04999999993</v>
      </c>
      <c r="W27" s="187">
        <v>805624.25</v>
      </c>
      <c r="X27" s="186">
        <v>732494.27</v>
      </c>
      <c r="Y27" s="186">
        <v>737827</v>
      </c>
      <c r="Z27" s="186">
        <v>680349</v>
      </c>
      <c r="AA27" s="186">
        <v>486802.99</v>
      </c>
      <c r="AB27" s="186">
        <v>510433</v>
      </c>
      <c r="AC27" s="186">
        <v>779196</v>
      </c>
      <c r="AD27" s="186">
        <v>727672</v>
      </c>
      <c r="AE27" s="186">
        <v>713777</v>
      </c>
      <c r="AF27" s="186">
        <v>543713</v>
      </c>
      <c r="AG27" s="239"/>
      <c r="AH27" s="239"/>
      <c r="AI27" s="239"/>
    </row>
    <row r="28" spans="1:35" s="232" customFormat="1" ht="13" thickBot="1">
      <c r="A28" s="229" t="s">
        <v>629</v>
      </c>
      <c r="B28" s="229" t="s">
        <v>562</v>
      </c>
      <c r="C28" s="189">
        <v>1625</v>
      </c>
      <c r="D28" s="189">
        <v>697</v>
      </c>
      <c r="E28" s="189">
        <v>1098</v>
      </c>
      <c r="F28" s="189">
        <v>606</v>
      </c>
      <c r="G28" s="189">
        <v>11</v>
      </c>
      <c r="H28" s="190">
        <v>27550.537</v>
      </c>
      <c r="I28" s="190">
        <v>30612.564200000001</v>
      </c>
      <c r="J28" s="184">
        <v>10001.973</v>
      </c>
      <c r="K28" s="184">
        <v>10310</v>
      </c>
      <c r="L28" s="184">
        <v>10801.370999999999</v>
      </c>
      <c r="M28" s="184">
        <v>3060</v>
      </c>
      <c r="N28" s="184">
        <v>3472</v>
      </c>
      <c r="O28" s="184">
        <v>3883</v>
      </c>
      <c r="P28" s="184">
        <v>2690.3128400000001</v>
      </c>
      <c r="Q28" s="184">
        <v>8595.2702199999985</v>
      </c>
      <c r="R28" s="184">
        <v>8891</v>
      </c>
      <c r="S28" s="184">
        <v>8644</v>
      </c>
      <c r="T28" s="184">
        <v>19734</v>
      </c>
      <c r="U28" s="184">
        <v>8715</v>
      </c>
      <c r="V28" s="184">
        <v>3110.73</v>
      </c>
      <c r="W28" s="185">
        <v>4231.9399999999996</v>
      </c>
      <c r="X28" s="184">
        <v>4642.12</v>
      </c>
      <c r="Y28" s="184">
        <v>4956</v>
      </c>
      <c r="Z28" s="184">
        <v>2333</v>
      </c>
      <c r="AA28" s="184">
        <v>1809.99</v>
      </c>
      <c r="AB28" s="184">
        <v>2227</v>
      </c>
      <c r="AC28" s="184">
        <v>2534</v>
      </c>
      <c r="AD28" s="184">
        <v>247</v>
      </c>
      <c r="AE28" s="184">
        <v>343</v>
      </c>
      <c r="AF28" s="184">
        <v>13643</v>
      </c>
      <c r="AG28" s="240"/>
      <c r="AH28" s="239"/>
    </row>
    <row r="29" spans="1:35" s="232" customFormat="1" ht="13" thickBot="1">
      <c r="A29" s="229" t="s">
        <v>630</v>
      </c>
      <c r="B29" s="229" t="s">
        <v>563</v>
      </c>
      <c r="C29" s="189">
        <v>286553</v>
      </c>
      <c r="D29" s="189">
        <v>321188</v>
      </c>
      <c r="E29" s="189">
        <v>327943</v>
      </c>
      <c r="F29" s="189">
        <v>342060</v>
      </c>
      <c r="G29" s="189">
        <v>335715</v>
      </c>
      <c r="H29" s="190">
        <v>360170.92999630695</v>
      </c>
      <c r="I29" s="190">
        <v>512366.30977630703</v>
      </c>
      <c r="J29" s="184">
        <v>518855.3057163069</v>
      </c>
      <c r="K29" s="184">
        <v>531518</v>
      </c>
      <c r="L29" s="184">
        <v>543925.23808630696</v>
      </c>
      <c r="M29" s="184">
        <v>537839</v>
      </c>
      <c r="N29" s="184">
        <v>581523</v>
      </c>
      <c r="O29" s="184">
        <v>661291</v>
      </c>
      <c r="P29" s="184">
        <v>679987.55760630686</v>
      </c>
      <c r="Q29" s="184">
        <v>677790.04263630684</v>
      </c>
      <c r="R29" s="184">
        <v>678702</v>
      </c>
      <c r="S29" s="184">
        <v>777106</v>
      </c>
      <c r="T29" s="184">
        <v>755521</v>
      </c>
      <c r="U29" s="184">
        <v>737041</v>
      </c>
      <c r="V29" s="184">
        <v>945190.32</v>
      </c>
      <c r="W29" s="185">
        <v>801392.31</v>
      </c>
      <c r="X29" s="184">
        <v>727852.15</v>
      </c>
      <c r="Y29" s="184">
        <v>732871</v>
      </c>
      <c r="Z29" s="184">
        <v>678016</v>
      </c>
      <c r="AA29" s="184">
        <v>484993</v>
      </c>
      <c r="AB29" s="184">
        <v>508206</v>
      </c>
      <c r="AC29" s="184">
        <v>776662</v>
      </c>
      <c r="AD29" s="184">
        <v>727425</v>
      </c>
      <c r="AE29" s="184">
        <v>713434</v>
      </c>
      <c r="AF29" s="184">
        <v>530070</v>
      </c>
      <c r="AG29" s="240"/>
      <c r="AH29" s="239"/>
      <c r="AI29" s="239"/>
    </row>
    <row r="30" spans="1:35" s="232" customFormat="1" ht="13" thickBot="1">
      <c r="A30" s="229" t="s">
        <v>233</v>
      </c>
      <c r="B30" s="229" t="s">
        <v>564</v>
      </c>
      <c r="C30" s="189">
        <v>338659</v>
      </c>
      <c r="D30" s="189">
        <v>470004</v>
      </c>
      <c r="E30" s="189">
        <v>368507</v>
      </c>
      <c r="F30" s="189">
        <v>493232</v>
      </c>
      <c r="G30" s="189">
        <v>483180</v>
      </c>
      <c r="H30" s="190">
        <v>418422.81576000003</v>
      </c>
      <c r="I30" s="190">
        <v>355868.23464999819</v>
      </c>
      <c r="J30" s="184">
        <v>425686.06338999426</v>
      </c>
      <c r="K30" s="184">
        <v>399778</v>
      </c>
      <c r="L30" s="184">
        <v>546794.46286142664</v>
      </c>
      <c r="M30" s="184">
        <v>466874</v>
      </c>
      <c r="N30" s="184">
        <v>478022</v>
      </c>
      <c r="O30" s="184">
        <v>509035</v>
      </c>
      <c r="P30" s="184">
        <v>632833.04518905724</v>
      </c>
      <c r="Q30" s="184">
        <v>925434.16544905922</v>
      </c>
      <c r="R30" s="184">
        <v>793293</v>
      </c>
      <c r="S30" s="184">
        <v>857650</v>
      </c>
      <c r="T30" s="184">
        <v>933377</v>
      </c>
      <c r="U30" s="184">
        <v>1023199</v>
      </c>
      <c r="V30" s="184">
        <v>1133810.77</v>
      </c>
      <c r="W30" s="185">
        <v>1177134.22</v>
      </c>
      <c r="X30" s="184">
        <v>1371629.85</v>
      </c>
      <c r="Y30" s="184">
        <v>1425904</v>
      </c>
      <c r="Z30" s="184">
        <v>1587494</v>
      </c>
      <c r="AA30" s="184">
        <v>1544328.14</v>
      </c>
      <c r="AB30" s="184">
        <v>1796879</v>
      </c>
      <c r="AC30" s="184">
        <v>1532877</v>
      </c>
      <c r="AD30" s="184">
        <v>1537863</v>
      </c>
      <c r="AE30" s="184">
        <v>1765188</v>
      </c>
      <c r="AF30" s="184">
        <v>1837119</v>
      </c>
      <c r="AG30" s="240"/>
      <c r="AH30" s="239"/>
      <c r="AI30" s="239"/>
    </row>
    <row r="31" spans="1:35" s="232" customFormat="1" ht="13" thickBot="1">
      <c r="A31" s="229" t="s">
        <v>631</v>
      </c>
      <c r="B31" s="229" t="s">
        <v>565</v>
      </c>
      <c r="C31" s="189">
        <v>19557</v>
      </c>
      <c r="D31" s="189">
        <v>21094</v>
      </c>
      <c r="E31" s="189">
        <v>23333</v>
      </c>
      <c r="F31" s="189">
        <v>26919</v>
      </c>
      <c r="G31" s="189">
        <v>25674</v>
      </c>
      <c r="H31" s="190">
        <v>27583.714240000001</v>
      </c>
      <c r="I31" s="190">
        <v>28998.585749999998</v>
      </c>
      <c r="J31" s="184">
        <v>47651.077090000006</v>
      </c>
      <c r="K31" s="184">
        <v>39441</v>
      </c>
      <c r="L31" s="184">
        <v>41583.39892</v>
      </c>
      <c r="M31" s="184">
        <v>33374</v>
      </c>
      <c r="N31" s="184">
        <v>30796</v>
      </c>
      <c r="O31" s="184">
        <v>22390</v>
      </c>
      <c r="P31" s="184">
        <v>23452.204269999998</v>
      </c>
      <c r="Q31" s="184">
        <v>17771.543550000002</v>
      </c>
      <c r="R31" s="184">
        <v>18409</v>
      </c>
      <c r="S31" s="184">
        <v>18294</v>
      </c>
      <c r="T31" s="184">
        <v>15578</v>
      </c>
      <c r="U31" s="184">
        <v>9446</v>
      </c>
      <c r="V31" s="184">
        <v>9987.61</v>
      </c>
      <c r="W31" s="185">
        <v>11391.29</v>
      </c>
      <c r="X31" s="184">
        <v>13748.5</v>
      </c>
      <c r="Y31" s="184">
        <v>11940</v>
      </c>
      <c r="Z31" s="184">
        <v>16180</v>
      </c>
      <c r="AA31" s="184">
        <v>17514.14</v>
      </c>
      <c r="AB31" s="184">
        <v>19270</v>
      </c>
      <c r="AC31" s="184">
        <v>19114</v>
      </c>
      <c r="AD31" s="184">
        <v>19606</v>
      </c>
      <c r="AE31" s="184">
        <v>14549</v>
      </c>
      <c r="AF31" s="184">
        <v>11279</v>
      </c>
      <c r="AG31" s="180"/>
      <c r="AH31" s="240"/>
      <c r="AI31" s="239"/>
    </row>
    <row r="32" spans="1:35" s="232" customFormat="1" ht="13" thickBot="1">
      <c r="A32" s="231" t="s">
        <v>632</v>
      </c>
      <c r="B32" s="231" t="s">
        <v>566</v>
      </c>
      <c r="C32" s="195">
        <v>71141415</v>
      </c>
      <c r="D32" s="195">
        <v>73009283</v>
      </c>
      <c r="E32" s="195">
        <v>72665838</v>
      </c>
      <c r="F32" s="195">
        <v>73408314</v>
      </c>
      <c r="G32" s="195">
        <v>80458914</v>
      </c>
      <c r="H32" s="196">
        <v>82306792.746127814</v>
      </c>
      <c r="I32" s="196">
        <v>93670304.88309665</v>
      </c>
      <c r="J32" s="197">
        <v>97914135.028007343</v>
      </c>
      <c r="K32" s="197">
        <v>97916394.200730026</v>
      </c>
      <c r="L32" s="197">
        <v>101930806.51655976</v>
      </c>
      <c r="M32" s="197">
        <v>102410398.20073003</v>
      </c>
      <c r="N32" s="197">
        <v>102078161.20073003</v>
      </c>
      <c r="O32" s="197">
        <v>97322785.002460003</v>
      </c>
      <c r="P32" s="197">
        <v>103366182.22987877</v>
      </c>
      <c r="Q32" s="197">
        <v>104107029.56911333</v>
      </c>
      <c r="R32" s="197">
        <v>103791480.20073003</v>
      </c>
      <c r="S32" s="197">
        <v>103913908.20073003</v>
      </c>
      <c r="T32" s="197">
        <v>109755965</v>
      </c>
      <c r="U32" s="197">
        <v>108858216</v>
      </c>
      <c r="V32" s="195">
        <v>110193772.76000001</v>
      </c>
      <c r="W32" s="196">
        <v>110941969.73000002</v>
      </c>
      <c r="X32" s="195">
        <v>113827975.13</v>
      </c>
      <c r="Y32" s="195">
        <v>114823623</v>
      </c>
      <c r="Z32" s="195">
        <v>123909376</v>
      </c>
      <c r="AA32" s="195">
        <v>125520004.22999997</v>
      </c>
      <c r="AB32" s="195">
        <v>132138048</v>
      </c>
      <c r="AC32" s="195">
        <v>135535070</v>
      </c>
      <c r="AD32" s="195">
        <v>135587737</v>
      </c>
      <c r="AE32" s="195">
        <v>139151532</v>
      </c>
      <c r="AF32" s="195">
        <v>142763893</v>
      </c>
      <c r="AG32" s="180"/>
      <c r="AH32" s="240"/>
      <c r="AI32" s="239"/>
    </row>
    <row r="33" spans="1:35">
      <c r="A33" s="198"/>
      <c r="B33" s="198"/>
      <c r="C33" s="199"/>
      <c r="D33" s="199"/>
      <c r="E33" s="199"/>
      <c r="F33" s="199"/>
      <c r="G33" s="200"/>
      <c r="H33" s="200"/>
      <c r="I33" s="200"/>
      <c r="J33" s="201"/>
      <c r="K33" s="198"/>
      <c r="L33" s="201"/>
      <c r="M33" s="198"/>
      <c r="N33" s="198"/>
      <c r="O33" s="198"/>
      <c r="P33" s="198"/>
      <c r="Q33" s="198"/>
      <c r="R33" s="198"/>
      <c r="S33" s="198"/>
      <c r="T33" s="198"/>
      <c r="U33" s="198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</row>
    <row r="34" spans="1:35" ht="14" thickBot="1">
      <c r="A34" s="233" t="s">
        <v>656</v>
      </c>
      <c r="B34" s="238" t="s">
        <v>567</v>
      </c>
      <c r="C34" s="203"/>
      <c r="D34" s="203"/>
      <c r="E34" s="203"/>
      <c r="F34" s="203"/>
      <c r="G34" s="203"/>
      <c r="H34" s="203"/>
      <c r="I34" s="203"/>
      <c r="J34" s="201"/>
      <c r="K34" s="198"/>
      <c r="L34" s="201"/>
      <c r="M34" s="198"/>
      <c r="N34" s="198"/>
      <c r="O34" s="204"/>
      <c r="P34" s="204"/>
      <c r="Q34" s="198"/>
      <c r="R34" s="198"/>
      <c r="S34" s="198"/>
      <c r="T34" s="198"/>
      <c r="U34" s="198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</row>
    <row r="35" spans="1:35" ht="13" thickBot="1">
      <c r="A35" s="182" t="s">
        <v>655</v>
      </c>
      <c r="B35" s="182" t="s">
        <v>551</v>
      </c>
      <c r="C35" s="183" t="s">
        <v>191</v>
      </c>
      <c r="D35" s="183" t="s">
        <v>221</v>
      </c>
      <c r="E35" s="183" t="s">
        <v>264</v>
      </c>
      <c r="F35" s="183" t="s">
        <v>301</v>
      </c>
      <c r="G35" s="183" t="s">
        <v>304</v>
      </c>
      <c r="H35" s="183" t="s">
        <v>308</v>
      </c>
      <c r="I35" s="183" t="s">
        <v>319</v>
      </c>
      <c r="J35" s="183" t="s">
        <v>324</v>
      </c>
      <c r="K35" s="183" t="s">
        <v>330</v>
      </c>
      <c r="L35" s="183" t="s">
        <v>401</v>
      </c>
      <c r="M35" s="183" t="s">
        <v>469</v>
      </c>
      <c r="N35" s="183" t="s">
        <v>474</v>
      </c>
      <c r="O35" s="183" t="s">
        <v>481</v>
      </c>
      <c r="P35" s="183" t="s">
        <v>490</v>
      </c>
      <c r="Q35" s="183" t="s">
        <v>503</v>
      </c>
      <c r="R35" s="183" t="s">
        <v>507</v>
      </c>
      <c r="S35" s="183" t="s">
        <v>512</v>
      </c>
      <c r="T35" s="183" t="s">
        <v>516</v>
      </c>
      <c r="U35" s="183" t="s">
        <v>519</v>
      </c>
      <c r="V35" s="183" t="s">
        <v>524</v>
      </c>
      <c r="W35" s="183" t="s">
        <v>542</v>
      </c>
      <c r="X35" s="183" t="s">
        <v>548</v>
      </c>
      <c r="Y35" s="183" t="s">
        <v>650</v>
      </c>
      <c r="Z35" s="183" t="s">
        <v>653</v>
      </c>
      <c r="AA35" s="183" t="s">
        <v>663</v>
      </c>
      <c r="AB35" s="183" t="s">
        <v>667</v>
      </c>
      <c r="AC35" s="183" t="s">
        <v>674</v>
      </c>
      <c r="AD35" s="183" t="s">
        <v>677</v>
      </c>
      <c r="AE35" s="183" t="s">
        <v>684</v>
      </c>
      <c r="AF35" s="183" t="s">
        <v>691</v>
      </c>
      <c r="AG35" s="232"/>
    </row>
    <row r="36" spans="1:35" s="232" customFormat="1" thickBot="1">
      <c r="A36" s="233" t="s">
        <v>634</v>
      </c>
      <c r="B36" s="233" t="s">
        <v>568</v>
      </c>
      <c r="C36" s="206"/>
      <c r="D36" s="206"/>
      <c r="E36" s="206"/>
      <c r="F36" s="206"/>
      <c r="G36" s="206"/>
      <c r="H36" s="206"/>
      <c r="I36" s="206"/>
      <c r="J36" s="236"/>
      <c r="K36" s="236"/>
      <c r="L36" s="236"/>
      <c r="M36" s="236"/>
      <c r="N36" s="236"/>
      <c r="O36" s="237"/>
      <c r="P36" s="237"/>
      <c r="Q36" s="236"/>
      <c r="R36" s="236"/>
      <c r="S36" s="236"/>
      <c r="T36" s="236"/>
      <c r="U36" s="23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</row>
    <row r="37" spans="1:35" s="232" customFormat="1" thickBot="1">
      <c r="A37" s="234" t="s">
        <v>234</v>
      </c>
      <c r="B37" s="234" t="s">
        <v>235</v>
      </c>
      <c r="C37" s="191">
        <v>190111</v>
      </c>
      <c r="D37" s="191">
        <v>256708</v>
      </c>
      <c r="E37" s="191">
        <v>236119</v>
      </c>
      <c r="F37" s="191">
        <v>157516</v>
      </c>
      <c r="G37" s="191">
        <v>231633</v>
      </c>
      <c r="H37" s="192">
        <v>214804</v>
      </c>
      <c r="I37" s="192">
        <v>232231.08130000002</v>
      </c>
      <c r="J37" s="188">
        <v>150168.80499999999</v>
      </c>
      <c r="K37" s="188">
        <v>353000</v>
      </c>
      <c r="L37" s="188">
        <v>312948.56310999999</v>
      </c>
      <c r="M37" s="188">
        <v>200229</v>
      </c>
      <c r="N37" s="188">
        <v>156426</v>
      </c>
      <c r="O37" s="188">
        <v>168553</v>
      </c>
      <c r="P37" s="188">
        <v>83964</v>
      </c>
      <c r="Q37" s="188">
        <v>77594.375080000013</v>
      </c>
      <c r="R37" s="188">
        <v>109499</v>
      </c>
      <c r="S37" s="188">
        <v>143016</v>
      </c>
      <c r="T37" s="188">
        <v>219321</v>
      </c>
      <c r="U37" s="188">
        <v>248957</v>
      </c>
      <c r="V37" s="191">
        <v>306874.99</v>
      </c>
      <c r="W37" s="192">
        <v>385062.68</v>
      </c>
      <c r="X37" s="191">
        <v>433296.01999999996</v>
      </c>
      <c r="Y37" s="191">
        <v>568182</v>
      </c>
      <c r="Z37" s="191">
        <v>680843</v>
      </c>
      <c r="AA37" s="191">
        <v>579553.23</v>
      </c>
      <c r="AB37" s="191">
        <v>496924</v>
      </c>
      <c r="AC37" s="191">
        <v>514947</v>
      </c>
      <c r="AD37" s="191">
        <v>656115</v>
      </c>
      <c r="AE37" s="191">
        <v>417073</v>
      </c>
      <c r="AF37" s="191">
        <v>523200</v>
      </c>
      <c r="AG37" s="239"/>
      <c r="AH37" s="239"/>
      <c r="AI37" s="239"/>
    </row>
    <row r="38" spans="1:35" s="232" customFormat="1" thickBot="1">
      <c r="A38" s="227" t="s">
        <v>618</v>
      </c>
      <c r="B38" s="227" t="s">
        <v>552</v>
      </c>
      <c r="C38" s="189">
        <v>190111</v>
      </c>
      <c r="D38" s="189">
        <v>148399</v>
      </c>
      <c r="E38" s="189">
        <v>129801</v>
      </c>
      <c r="F38" s="189">
        <v>105046</v>
      </c>
      <c r="G38" s="189">
        <v>107879</v>
      </c>
      <c r="H38" s="190">
        <v>100622</v>
      </c>
      <c r="I38" s="190">
        <v>146641.08130000002</v>
      </c>
      <c r="J38" s="184">
        <v>110297.80499999999</v>
      </c>
      <c r="K38" s="184">
        <v>150735</v>
      </c>
      <c r="L38" s="184">
        <v>247273.56310999999</v>
      </c>
      <c r="M38" s="184">
        <v>129931</v>
      </c>
      <c r="N38" s="184">
        <v>119371</v>
      </c>
      <c r="O38" s="184">
        <v>103775</v>
      </c>
      <c r="P38" s="184">
        <v>74513</v>
      </c>
      <c r="Q38" s="184">
        <v>66499.375080000013</v>
      </c>
      <c r="R38" s="184">
        <v>88151</v>
      </c>
      <c r="S38" s="184">
        <v>126402</v>
      </c>
      <c r="T38" s="184">
        <v>198498</v>
      </c>
      <c r="U38" s="184">
        <v>238749</v>
      </c>
      <c r="V38" s="184">
        <v>301205.67</v>
      </c>
      <c r="W38" s="185">
        <v>380278.3</v>
      </c>
      <c r="X38" s="184">
        <v>430215.97</v>
      </c>
      <c r="Y38" s="184">
        <v>479672</v>
      </c>
      <c r="Z38" s="184">
        <v>528848</v>
      </c>
      <c r="AA38" s="184">
        <v>576833.27</v>
      </c>
      <c r="AB38" s="184">
        <v>496924</v>
      </c>
      <c r="AC38" s="184">
        <v>406290</v>
      </c>
      <c r="AD38" s="184">
        <v>442775</v>
      </c>
      <c r="AE38" s="184">
        <v>226304</v>
      </c>
      <c r="AF38" s="184">
        <v>235217</v>
      </c>
      <c r="AG38" s="239"/>
      <c r="AH38" s="239"/>
      <c r="AI38" s="239"/>
    </row>
    <row r="39" spans="1:35" s="232" customFormat="1" thickBot="1">
      <c r="A39" s="227" t="s">
        <v>635</v>
      </c>
      <c r="B39" s="227" t="s">
        <v>569</v>
      </c>
      <c r="C39" s="189">
        <v>0</v>
      </c>
      <c r="D39" s="189">
        <v>108309</v>
      </c>
      <c r="E39" s="189">
        <v>106318</v>
      </c>
      <c r="F39" s="189">
        <v>52470</v>
      </c>
      <c r="G39" s="189">
        <v>123754</v>
      </c>
      <c r="H39" s="190">
        <v>114182</v>
      </c>
      <c r="I39" s="190">
        <v>85590</v>
      </c>
      <c r="J39" s="184">
        <v>39871</v>
      </c>
      <c r="K39" s="184">
        <v>202265</v>
      </c>
      <c r="L39" s="184">
        <v>65675</v>
      </c>
      <c r="M39" s="184">
        <v>70298</v>
      </c>
      <c r="N39" s="184">
        <v>37055</v>
      </c>
      <c r="O39" s="184">
        <v>64778</v>
      </c>
      <c r="P39" s="184">
        <v>9451</v>
      </c>
      <c r="Q39" s="184">
        <v>11095</v>
      </c>
      <c r="R39" s="184">
        <v>21348</v>
      </c>
      <c r="S39" s="184">
        <v>16614</v>
      </c>
      <c r="T39" s="184">
        <v>20823</v>
      </c>
      <c r="U39" s="184">
        <v>10208</v>
      </c>
      <c r="V39" s="184">
        <v>5669.32</v>
      </c>
      <c r="W39" s="185">
        <v>4784.38</v>
      </c>
      <c r="X39" s="184">
        <v>3080.05</v>
      </c>
      <c r="Y39" s="184">
        <v>88510</v>
      </c>
      <c r="Z39" s="184">
        <v>151996</v>
      </c>
      <c r="AA39" s="184">
        <v>2719.96</v>
      </c>
      <c r="AB39" s="184">
        <v>0</v>
      </c>
      <c r="AC39" s="184">
        <v>108657</v>
      </c>
      <c r="AD39" s="184">
        <v>213340</v>
      </c>
      <c r="AE39" s="184">
        <v>190769</v>
      </c>
      <c r="AF39" s="184">
        <v>287983</v>
      </c>
      <c r="AG39" s="239"/>
      <c r="AI39" s="239"/>
    </row>
    <row r="40" spans="1:35" s="232" customFormat="1" thickBot="1">
      <c r="A40" s="228" t="s">
        <v>236</v>
      </c>
      <c r="B40" s="228" t="s">
        <v>237</v>
      </c>
      <c r="C40" s="186">
        <v>61484830</v>
      </c>
      <c r="D40" s="186">
        <v>63329416</v>
      </c>
      <c r="E40" s="186">
        <v>62502145</v>
      </c>
      <c r="F40" s="186">
        <v>63304899</v>
      </c>
      <c r="G40" s="186">
        <v>69594512</v>
      </c>
      <c r="H40" s="187">
        <v>71038794.650975496</v>
      </c>
      <c r="I40" s="187">
        <v>81873384.502350003</v>
      </c>
      <c r="J40" s="188">
        <v>85241598.951969996</v>
      </c>
      <c r="K40" s="188">
        <v>85853762</v>
      </c>
      <c r="L40" s="188">
        <v>88802161.724900007</v>
      </c>
      <c r="M40" s="188">
        <v>89996642</v>
      </c>
      <c r="N40" s="188">
        <v>89604569.283289999</v>
      </c>
      <c r="O40" s="188">
        <v>84915527</v>
      </c>
      <c r="P40" s="188">
        <v>91052766.432040006</v>
      </c>
      <c r="Q40" s="188">
        <v>92591374.237389997</v>
      </c>
      <c r="R40" s="188">
        <v>92609308</v>
      </c>
      <c r="S40" s="188">
        <v>93585673</v>
      </c>
      <c r="T40" s="188">
        <v>99539430</v>
      </c>
      <c r="U40" s="188">
        <v>98222501</v>
      </c>
      <c r="V40" s="186">
        <v>100701559.77000001</v>
      </c>
      <c r="W40" s="187">
        <v>100577922.45000002</v>
      </c>
      <c r="X40" s="186">
        <v>103158389.48000002</v>
      </c>
      <c r="Y40" s="186">
        <v>103287919</v>
      </c>
      <c r="Z40" s="186">
        <v>111600513</v>
      </c>
      <c r="AA40" s="186">
        <v>112692832.83</v>
      </c>
      <c r="AB40" s="186">
        <v>119004963</v>
      </c>
      <c r="AC40" s="186">
        <v>122285470</v>
      </c>
      <c r="AD40" s="186">
        <v>121644443</v>
      </c>
      <c r="AE40" s="186">
        <v>125455365</v>
      </c>
      <c r="AF40" s="186">
        <v>128234140</v>
      </c>
      <c r="AG40" s="239"/>
      <c r="AH40" s="239"/>
      <c r="AI40" s="239"/>
    </row>
    <row r="41" spans="1:35" s="232" customFormat="1" thickBot="1">
      <c r="A41" s="210" t="s">
        <v>636</v>
      </c>
      <c r="B41" s="210" t="s">
        <v>238</v>
      </c>
      <c r="C41" s="189">
        <v>2353131</v>
      </c>
      <c r="D41" s="189">
        <v>1981886</v>
      </c>
      <c r="E41" s="189">
        <v>1165688</v>
      </c>
      <c r="F41" s="189">
        <v>1630516</v>
      </c>
      <c r="G41" s="189">
        <v>1788857</v>
      </c>
      <c r="H41" s="190">
        <v>1868210.2675099997</v>
      </c>
      <c r="I41" s="190">
        <v>1908262.9520499967</v>
      </c>
      <c r="J41" s="184">
        <v>1756131.9079899993</v>
      </c>
      <c r="K41" s="184">
        <v>1578848</v>
      </c>
      <c r="L41" s="184">
        <v>1516541.2246899987</v>
      </c>
      <c r="M41" s="184">
        <v>1429762</v>
      </c>
      <c r="N41" s="184">
        <v>1105329.8378299996</v>
      </c>
      <c r="O41" s="184">
        <v>1057652</v>
      </c>
      <c r="P41" s="184">
        <v>825526.08619000018</v>
      </c>
      <c r="Q41" s="184">
        <v>742312.75057000108</v>
      </c>
      <c r="R41" s="184">
        <v>529445</v>
      </c>
      <c r="S41" s="184">
        <v>539408</v>
      </c>
      <c r="T41" s="184">
        <v>646646</v>
      </c>
      <c r="U41" s="184">
        <v>546837</v>
      </c>
      <c r="V41" s="184">
        <v>603645.64</v>
      </c>
      <c r="W41" s="185">
        <v>727570.54</v>
      </c>
      <c r="X41" s="184">
        <v>462386.62</v>
      </c>
      <c r="Y41" s="184">
        <v>522954</v>
      </c>
      <c r="Z41" s="184">
        <v>428097</v>
      </c>
      <c r="AA41" s="184">
        <v>563512.01</v>
      </c>
      <c r="AB41" s="184">
        <v>557849</v>
      </c>
      <c r="AC41" s="184">
        <v>585422</v>
      </c>
      <c r="AD41" s="184">
        <v>293267</v>
      </c>
      <c r="AE41" s="184">
        <v>316824</v>
      </c>
      <c r="AF41" s="184">
        <v>365274</v>
      </c>
      <c r="AG41" s="239"/>
      <c r="AH41" s="239"/>
      <c r="AI41" s="239"/>
    </row>
    <row r="42" spans="1:35" s="232" customFormat="1" thickBot="1">
      <c r="A42" s="210" t="s">
        <v>239</v>
      </c>
      <c r="B42" s="210" t="s">
        <v>69</v>
      </c>
      <c r="C42" s="189">
        <v>57273255</v>
      </c>
      <c r="D42" s="189">
        <v>59473880</v>
      </c>
      <c r="E42" s="189">
        <v>59831479</v>
      </c>
      <c r="F42" s="189">
        <v>60222668</v>
      </c>
      <c r="G42" s="189">
        <v>66243769</v>
      </c>
      <c r="H42" s="190">
        <v>66672619.749835499</v>
      </c>
      <c r="I42" s="190">
        <v>76827810.533440009</v>
      </c>
      <c r="J42" s="184">
        <v>80341143.051160008</v>
      </c>
      <c r="K42" s="184">
        <v>81454765</v>
      </c>
      <c r="L42" s="184">
        <v>83583599.812880009</v>
      </c>
      <c r="M42" s="184">
        <v>86254625</v>
      </c>
      <c r="N42" s="184">
        <v>85852463.445460007</v>
      </c>
      <c r="O42" s="184">
        <v>81510540</v>
      </c>
      <c r="P42" s="184">
        <v>88254606.162320003</v>
      </c>
      <c r="Q42" s="184">
        <v>89998486.924290001</v>
      </c>
      <c r="R42" s="184">
        <v>90250053</v>
      </c>
      <c r="S42" s="184">
        <v>91447515</v>
      </c>
      <c r="T42" s="184">
        <v>97304820</v>
      </c>
      <c r="U42" s="184">
        <v>96122029</v>
      </c>
      <c r="V42" s="184">
        <v>97770564.730000004</v>
      </c>
      <c r="W42" s="185">
        <v>98038516.150000006</v>
      </c>
      <c r="X42" s="184">
        <v>100875840.95</v>
      </c>
      <c r="Y42" s="184">
        <v>100596983</v>
      </c>
      <c r="Z42" s="184">
        <v>106176227</v>
      </c>
      <c r="AA42" s="184">
        <v>107246427.56999999</v>
      </c>
      <c r="AB42" s="184">
        <v>113183861</v>
      </c>
      <c r="AC42" s="184">
        <v>116540149</v>
      </c>
      <c r="AD42" s="184">
        <v>113981202</v>
      </c>
      <c r="AE42" s="184">
        <v>117257213</v>
      </c>
      <c r="AF42" s="184">
        <v>119435816</v>
      </c>
      <c r="AG42" s="239"/>
      <c r="AH42" s="239"/>
      <c r="AI42" s="239"/>
    </row>
    <row r="43" spans="1:35" s="232" customFormat="1" thickBot="1">
      <c r="A43" s="210" t="s">
        <v>637</v>
      </c>
      <c r="B43" s="210" t="s">
        <v>228</v>
      </c>
      <c r="C43" s="189">
        <v>0</v>
      </c>
      <c r="D43" s="189">
        <v>0</v>
      </c>
      <c r="E43" s="189">
        <v>94285</v>
      </c>
      <c r="F43" s="189">
        <v>11272</v>
      </c>
      <c r="G43" s="189">
        <v>50324</v>
      </c>
      <c r="H43" s="190">
        <v>55759</v>
      </c>
      <c r="I43" s="190">
        <v>20990</v>
      </c>
      <c r="J43" s="184">
        <v>52036</v>
      </c>
      <c r="K43" s="184">
        <v>90712</v>
      </c>
      <c r="L43" s="184">
        <v>1056303</v>
      </c>
      <c r="M43" s="184">
        <v>0</v>
      </c>
      <c r="N43" s="184">
        <v>448535</v>
      </c>
      <c r="O43" s="184">
        <v>248566</v>
      </c>
      <c r="P43" s="184">
        <v>9980</v>
      </c>
      <c r="Q43" s="184">
        <v>0</v>
      </c>
      <c r="R43" s="184">
        <v>0</v>
      </c>
      <c r="S43" s="184">
        <v>18038</v>
      </c>
      <c r="T43" s="184">
        <v>27</v>
      </c>
      <c r="U43" s="184">
        <v>0</v>
      </c>
      <c r="V43" s="184">
        <v>763502.26</v>
      </c>
      <c r="W43" s="185">
        <v>0</v>
      </c>
      <c r="X43" s="184">
        <v>0</v>
      </c>
      <c r="Y43" s="184">
        <v>350244</v>
      </c>
      <c r="Z43" s="184">
        <v>571017</v>
      </c>
      <c r="AA43" s="184">
        <v>0</v>
      </c>
      <c r="AB43" s="184">
        <v>380430</v>
      </c>
      <c r="AC43" s="184">
        <v>2559</v>
      </c>
      <c r="AD43" s="184">
        <v>216361</v>
      </c>
      <c r="AE43" s="184">
        <v>194223</v>
      </c>
      <c r="AF43" s="184">
        <v>0</v>
      </c>
      <c r="AG43" s="239"/>
      <c r="AH43" s="239"/>
      <c r="AI43" s="239"/>
    </row>
    <row r="44" spans="1:35" s="232" customFormat="1" thickBot="1">
      <c r="A44" s="210" t="s">
        <v>240</v>
      </c>
      <c r="B44" s="210" t="s">
        <v>241</v>
      </c>
      <c r="C44" s="189">
        <v>1156473</v>
      </c>
      <c r="D44" s="189">
        <v>1164585</v>
      </c>
      <c r="E44" s="189">
        <v>708893</v>
      </c>
      <c r="F44" s="189">
        <v>731445</v>
      </c>
      <c r="G44" s="189">
        <v>809679</v>
      </c>
      <c r="H44" s="190">
        <v>897590.63362999994</v>
      </c>
      <c r="I44" s="190">
        <v>1469990.4278199999</v>
      </c>
      <c r="J44" s="184">
        <v>1447128.7188500001</v>
      </c>
      <c r="K44" s="184">
        <v>1183232</v>
      </c>
      <c r="L44" s="184">
        <v>1101039.6873299999</v>
      </c>
      <c r="M44" s="184">
        <v>767017</v>
      </c>
      <c r="N44" s="184">
        <v>658917</v>
      </c>
      <c r="O44" s="184">
        <v>558560</v>
      </c>
      <c r="P44" s="184">
        <v>423600.18352999998</v>
      </c>
      <c r="Q44" s="184">
        <v>310693.56253</v>
      </c>
      <c r="R44" s="184">
        <v>290594</v>
      </c>
      <c r="S44" s="184">
        <v>39568</v>
      </c>
      <c r="T44" s="184">
        <v>39644</v>
      </c>
      <c r="U44" s="184">
        <v>0</v>
      </c>
      <c r="V44" s="184">
        <v>0</v>
      </c>
      <c r="W44" s="185">
        <v>243752.7</v>
      </c>
      <c r="X44" s="184">
        <v>256279.65</v>
      </c>
      <c r="Y44" s="184">
        <v>251759</v>
      </c>
      <c r="Z44" s="184">
        <v>2862168</v>
      </c>
      <c r="AA44" s="184">
        <v>3317848.67</v>
      </c>
      <c r="AB44" s="184">
        <v>3323609</v>
      </c>
      <c r="AC44" s="184">
        <v>3595571</v>
      </c>
      <c r="AD44" s="184">
        <v>5594098</v>
      </c>
      <c r="AE44" s="184">
        <v>6124775</v>
      </c>
      <c r="AF44" s="184">
        <v>6874320</v>
      </c>
      <c r="AG44" s="239"/>
      <c r="AH44" s="239"/>
      <c r="AI44" s="239"/>
    </row>
    <row r="45" spans="1:35" s="232" customFormat="1" thickBot="1">
      <c r="A45" s="210" t="s">
        <v>18</v>
      </c>
      <c r="B45" s="210" t="s">
        <v>70</v>
      </c>
      <c r="C45" s="189">
        <v>701971</v>
      </c>
      <c r="D45" s="189">
        <v>709065</v>
      </c>
      <c r="E45" s="189">
        <v>701800</v>
      </c>
      <c r="F45" s="189">
        <v>708998</v>
      </c>
      <c r="G45" s="189">
        <v>701883</v>
      </c>
      <c r="H45" s="190">
        <v>1544615</v>
      </c>
      <c r="I45" s="190">
        <v>1646330.58904</v>
      </c>
      <c r="J45" s="184">
        <v>1645159.27397</v>
      </c>
      <c r="K45" s="184">
        <v>1546205</v>
      </c>
      <c r="L45" s="184">
        <v>1544678</v>
      </c>
      <c r="M45" s="184">
        <v>1545238</v>
      </c>
      <c r="N45" s="184">
        <v>1539324</v>
      </c>
      <c r="O45" s="184">
        <v>1540209</v>
      </c>
      <c r="P45" s="184">
        <v>1539054</v>
      </c>
      <c r="Q45" s="184">
        <v>1539881</v>
      </c>
      <c r="R45" s="184">
        <v>1539216</v>
      </c>
      <c r="S45" s="184">
        <v>1541144</v>
      </c>
      <c r="T45" s="184">
        <v>1548293</v>
      </c>
      <c r="U45" s="184">
        <v>1553635</v>
      </c>
      <c r="V45" s="184">
        <v>1563847.14</v>
      </c>
      <c r="W45" s="185">
        <v>1568083.06</v>
      </c>
      <c r="X45" s="184">
        <v>1563882.26</v>
      </c>
      <c r="Y45" s="184">
        <v>1565979</v>
      </c>
      <c r="Z45" s="184">
        <v>1563005</v>
      </c>
      <c r="AA45" s="184">
        <v>1565044.58</v>
      </c>
      <c r="AB45" s="184">
        <v>1559214</v>
      </c>
      <c r="AC45" s="184">
        <v>1561769</v>
      </c>
      <c r="AD45" s="184">
        <v>1559515</v>
      </c>
      <c r="AE45" s="184">
        <v>1562330</v>
      </c>
      <c r="AF45" s="184">
        <v>1558730</v>
      </c>
      <c r="AG45" s="239"/>
      <c r="AH45" s="239"/>
      <c r="AI45" s="239"/>
    </row>
    <row r="46" spans="1:35" s="232" customFormat="1" thickBot="1">
      <c r="A46" s="229" t="s">
        <v>229</v>
      </c>
      <c r="B46" s="229" t="s">
        <v>230</v>
      </c>
      <c r="C46" s="189">
        <v>176853</v>
      </c>
      <c r="D46" s="189">
        <v>193014</v>
      </c>
      <c r="E46" s="189">
        <v>506560</v>
      </c>
      <c r="F46" s="189">
        <v>358955</v>
      </c>
      <c r="G46" s="189">
        <v>376811</v>
      </c>
      <c r="H46" s="190">
        <v>367337</v>
      </c>
      <c r="I46" s="190">
        <v>339275.93293000001</v>
      </c>
      <c r="J46" s="184">
        <v>677936.31773999997</v>
      </c>
      <c r="K46" s="184">
        <v>426847</v>
      </c>
      <c r="L46" s="184">
        <v>1277724</v>
      </c>
      <c r="M46" s="184">
        <v>678043</v>
      </c>
      <c r="N46" s="184">
        <v>653259</v>
      </c>
      <c r="O46" s="184">
        <v>738850</v>
      </c>
      <c r="P46" s="184">
        <v>485502</v>
      </c>
      <c r="Q46" s="184">
        <v>251303</v>
      </c>
      <c r="R46" s="184">
        <v>334770</v>
      </c>
      <c r="S46" s="184">
        <v>614573</v>
      </c>
      <c r="T46" s="184">
        <v>661003</v>
      </c>
      <c r="U46" s="184">
        <v>832073</v>
      </c>
      <c r="V46" s="184">
        <v>988841.48</v>
      </c>
      <c r="W46" s="185">
        <v>554543.80000000005</v>
      </c>
      <c r="X46" s="184">
        <v>394858.6</v>
      </c>
      <c r="Y46" s="184">
        <v>329630</v>
      </c>
      <c r="Z46" s="184">
        <v>412281</v>
      </c>
      <c r="AA46" s="184">
        <v>193664.35</v>
      </c>
      <c r="AB46" s="184">
        <v>124155</v>
      </c>
      <c r="AC46" s="184">
        <v>129644</v>
      </c>
      <c r="AD46" s="184">
        <v>118782</v>
      </c>
      <c r="AE46" s="184">
        <v>107439</v>
      </c>
      <c r="AF46" s="184">
        <v>1205</v>
      </c>
      <c r="AG46" s="239"/>
      <c r="AH46" s="239"/>
      <c r="AI46" s="239"/>
    </row>
    <row r="47" spans="1:35" s="232" customFormat="1" thickBot="1">
      <c r="A47" s="228" t="s">
        <v>242</v>
      </c>
      <c r="B47" s="228" t="s">
        <v>243</v>
      </c>
      <c r="C47" s="186">
        <v>67752</v>
      </c>
      <c r="D47" s="186">
        <v>103718</v>
      </c>
      <c r="E47" s="186">
        <v>116115</v>
      </c>
      <c r="F47" s="186">
        <v>120132</v>
      </c>
      <c r="G47" s="186">
        <v>112452</v>
      </c>
      <c r="H47" s="187">
        <v>104881.04315</v>
      </c>
      <c r="I47" s="187">
        <v>108334.65508</v>
      </c>
      <c r="J47" s="188">
        <v>111059.13284999999</v>
      </c>
      <c r="K47" s="188">
        <v>165178</v>
      </c>
      <c r="L47" s="188">
        <v>272166.04315000004</v>
      </c>
      <c r="M47" s="188">
        <v>114398</v>
      </c>
      <c r="N47" s="188">
        <v>218225</v>
      </c>
      <c r="O47" s="188">
        <v>158650</v>
      </c>
      <c r="P47" s="188">
        <v>473183.60499999998</v>
      </c>
      <c r="Q47" s="188">
        <v>408300.63</v>
      </c>
      <c r="R47" s="188">
        <v>378644</v>
      </c>
      <c r="S47" s="188">
        <v>595530</v>
      </c>
      <c r="T47" s="188">
        <v>721054</v>
      </c>
      <c r="U47" s="188">
        <v>759094</v>
      </c>
      <c r="V47" s="186">
        <v>926152.6100000001</v>
      </c>
      <c r="W47" s="187">
        <v>1016169.04</v>
      </c>
      <c r="X47" s="186">
        <v>974133.37</v>
      </c>
      <c r="Y47" s="186">
        <v>1141582</v>
      </c>
      <c r="Z47" s="186">
        <v>1203791</v>
      </c>
      <c r="AA47" s="186">
        <v>1445471.49</v>
      </c>
      <c r="AB47" s="186">
        <v>1822340</v>
      </c>
      <c r="AC47" s="186">
        <v>2263958</v>
      </c>
      <c r="AD47" s="186">
        <v>2771287</v>
      </c>
      <c r="AE47" s="186">
        <v>2900586</v>
      </c>
      <c r="AF47" s="186">
        <v>3211955</v>
      </c>
      <c r="AG47" s="239"/>
      <c r="AH47" s="239"/>
      <c r="AI47" s="239"/>
    </row>
    <row r="48" spans="1:35" s="232" customFormat="1" thickBot="1">
      <c r="A48" s="227" t="s">
        <v>638</v>
      </c>
      <c r="B48" s="227" t="s">
        <v>570</v>
      </c>
      <c r="C48" s="189">
        <v>46032</v>
      </c>
      <c r="D48" s="189">
        <v>56061</v>
      </c>
      <c r="E48" s="189">
        <v>59426</v>
      </c>
      <c r="F48" s="189">
        <v>60833</v>
      </c>
      <c r="G48" s="189">
        <v>60710</v>
      </c>
      <c r="H48" s="190">
        <v>55749.043149999998</v>
      </c>
      <c r="I48" s="190">
        <v>56144.655079999997</v>
      </c>
      <c r="J48" s="184">
        <v>55747.132849999995</v>
      </c>
      <c r="K48" s="184">
        <v>111785</v>
      </c>
      <c r="L48" s="184">
        <v>156261.04315000001</v>
      </c>
      <c r="M48" s="184">
        <v>57743</v>
      </c>
      <c r="N48" s="184">
        <v>156077</v>
      </c>
      <c r="O48" s="184">
        <v>106922</v>
      </c>
      <c r="P48" s="184">
        <v>419577.60499999998</v>
      </c>
      <c r="Q48" s="184">
        <v>362094.63</v>
      </c>
      <c r="R48" s="184">
        <v>331512</v>
      </c>
      <c r="S48" s="184">
        <v>551176</v>
      </c>
      <c r="T48" s="184">
        <v>681782</v>
      </c>
      <c r="U48" s="184">
        <v>720755</v>
      </c>
      <c r="V48" s="184">
        <v>889300.56</v>
      </c>
      <c r="W48" s="185">
        <v>976552.05</v>
      </c>
      <c r="X48" s="184">
        <v>937001.61</v>
      </c>
      <c r="Y48" s="184">
        <v>1107056</v>
      </c>
      <c r="Z48" s="184">
        <v>1167499</v>
      </c>
      <c r="AA48" s="184">
        <v>1403104.81</v>
      </c>
      <c r="AB48" s="184">
        <v>1780304</v>
      </c>
      <c r="AC48" s="184">
        <v>2223914</v>
      </c>
      <c r="AD48" s="184">
        <v>2737005</v>
      </c>
      <c r="AE48" s="184">
        <v>2847003</v>
      </c>
      <c r="AF48" s="184">
        <v>3160127</v>
      </c>
      <c r="AG48" s="239"/>
      <c r="AH48" s="239"/>
      <c r="AI48" s="239"/>
    </row>
    <row r="49" spans="1:35" s="232" customFormat="1" thickBot="1">
      <c r="A49" s="227" t="s">
        <v>639</v>
      </c>
      <c r="B49" s="227" t="s">
        <v>571</v>
      </c>
      <c r="C49" s="189">
        <v>21720</v>
      </c>
      <c r="D49" s="189">
        <v>47657</v>
      </c>
      <c r="E49" s="189">
        <v>56689</v>
      </c>
      <c r="F49" s="189">
        <v>59299</v>
      </c>
      <c r="G49" s="189">
        <v>51742</v>
      </c>
      <c r="H49" s="190">
        <v>49132</v>
      </c>
      <c r="I49" s="190">
        <v>52190</v>
      </c>
      <c r="J49" s="184">
        <v>55312</v>
      </c>
      <c r="K49" s="184">
        <v>53393</v>
      </c>
      <c r="L49" s="184">
        <v>55905</v>
      </c>
      <c r="M49" s="184">
        <v>56655</v>
      </c>
      <c r="N49" s="184">
        <v>62148</v>
      </c>
      <c r="O49" s="184">
        <v>51728</v>
      </c>
      <c r="P49" s="184">
        <v>53606</v>
      </c>
      <c r="Q49" s="184">
        <v>46206</v>
      </c>
      <c r="R49" s="184">
        <v>47132</v>
      </c>
      <c r="S49" s="184">
        <v>44354</v>
      </c>
      <c r="T49" s="184">
        <v>39272</v>
      </c>
      <c r="U49" s="184">
        <v>38339</v>
      </c>
      <c r="V49" s="184">
        <v>36852.050000000003</v>
      </c>
      <c r="W49" s="185">
        <v>39616.99</v>
      </c>
      <c r="X49" s="184">
        <v>37131.760000000002</v>
      </c>
      <c r="Y49" s="184">
        <v>34526</v>
      </c>
      <c r="Z49" s="184">
        <v>36292</v>
      </c>
      <c r="AA49" s="184">
        <v>42366.68</v>
      </c>
      <c r="AB49" s="184">
        <v>42036</v>
      </c>
      <c r="AC49" s="184">
        <v>40044</v>
      </c>
      <c r="AD49" s="184">
        <v>34282</v>
      </c>
      <c r="AE49" s="184">
        <v>53583</v>
      </c>
      <c r="AF49" s="184">
        <v>51828</v>
      </c>
      <c r="AG49" s="239"/>
      <c r="AH49" s="239"/>
      <c r="AI49" s="239"/>
    </row>
    <row r="50" spans="1:35" s="232" customFormat="1" ht="15.75" customHeight="1" thickBot="1">
      <c r="A50" s="227"/>
      <c r="B50" s="227" t="s">
        <v>572</v>
      </c>
      <c r="C50" s="189"/>
      <c r="D50" s="189"/>
      <c r="E50" s="189"/>
      <c r="F50" s="189"/>
      <c r="G50" s="189"/>
      <c r="H50" s="190"/>
      <c r="I50" s="190"/>
      <c r="J50" s="184"/>
      <c r="K50" s="184">
        <v>0</v>
      </c>
      <c r="L50" s="184">
        <v>60000</v>
      </c>
      <c r="M50" s="184">
        <v>0</v>
      </c>
      <c r="N50" s="184">
        <v>0</v>
      </c>
      <c r="O50" s="184">
        <v>0</v>
      </c>
      <c r="P50" s="184">
        <v>0</v>
      </c>
      <c r="Q50" s="184">
        <v>0</v>
      </c>
      <c r="R50" s="184">
        <v>0</v>
      </c>
      <c r="S50" s="184">
        <v>0</v>
      </c>
      <c r="T50" s="184">
        <v>0</v>
      </c>
      <c r="U50" s="184">
        <v>0</v>
      </c>
      <c r="V50" s="184">
        <v>0</v>
      </c>
      <c r="W50" s="185">
        <v>0</v>
      </c>
      <c r="X50" s="184">
        <v>0</v>
      </c>
      <c r="Y50" s="184">
        <v>0</v>
      </c>
      <c r="Z50" s="184">
        <v>0</v>
      </c>
      <c r="AA50" s="184">
        <v>0</v>
      </c>
      <c r="AB50" s="184">
        <v>0</v>
      </c>
      <c r="AC50" s="184">
        <v>0</v>
      </c>
      <c r="AD50" s="184">
        <v>0</v>
      </c>
      <c r="AE50" s="184">
        <v>0</v>
      </c>
      <c r="AF50" s="184">
        <v>0</v>
      </c>
    </row>
    <row r="51" spans="1:35" s="232" customFormat="1" thickBot="1">
      <c r="A51" s="228" t="s">
        <v>640</v>
      </c>
      <c r="B51" s="228" t="s">
        <v>573</v>
      </c>
      <c r="C51" s="186">
        <v>26988</v>
      </c>
      <c r="D51" s="186">
        <v>43845</v>
      </c>
      <c r="E51" s="186">
        <v>23664</v>
      </c>
      <c r="F51" s="186">
        <v>16852</v>
      </c>
      <c r="G51" s="186">
        <v>22309</v>
      </c>
      <c r="H51" s="187">
        <v>33316.135000000002</v>
      </c>
      <c r="I51" s="187">
        <v>17257.3</v>
      </c>
      <c r="J51" s="188">
        <v>22524.060300000001</v>
      </c>
      <c r="K51" s="188">
        <v>38590</v>
      </c>
      <c r="L51" s="188">
        <v>20094.605800000001</v>
      </c>
      <c r="M51" s="188">
        <v>15412</v>
      </c>
      <c r="N51" s="188">
        <v>46331</v>
      </c>
      <c r="O51" s="188">
        <v>30843</v>
      </c>
      <c r="P51" s="188">
        <v>35011.893499999998</v>
      </c>
      <c r="Q51" s="188">
        <v>14182.554</v>
      </c>
      <c r="R51" s="188">
        <v>22688</v>
      </c>
      <c r="S51" s="188">
        <v>1496</v>
      </c>
      <c r="T51" s="188">
        <v>1630</v>
      </c>
      <c r="U51" s="188">
        <v>25215</v>
      </c>
      <c r="V51" s="186">
        <v>29094.3</v>
      </c>
      <c r="W51" s="187">
        <v>32533.05</v>
      </c>
      <c r="X51" s="186">
        <v>252977.97</v>
      </c>
      <c r="Y51" s="186">
        <v>386481</v>
      </c>
      <c r="Z51" s="186">
        <v>503242</v>
      </c>
      <c r="AA51" s="186">
        <v>461456.41</v>
      </c>
      <c r="AB51" s="186">
        <v>33174</v>
      </c>
      <c r="AC51" s="186">
        <v>147558</v>
      </c>
      <c r="AD51" s="186">
        <v>185079</v>
      </c>
      <c r="AE51" s="186">
        <v>223767</v>
      </c>
      <c r="AF51" s="186">
        <v>35370</v>
      </c>
      <c r="AI51" s="239"/>
    </row>
    <row r="52" spans="1:35" s="232" customFormat="1" thickBot="1">
      <c r="A52" s="227" t="s">
        <v>641</v>
      </c>
      <c r="B52" s="227" t="s">
        <v>574</v>
      </c>
      <c r="C52" s="189">
        <v>26988</v>
      </c>
      <c r="D52" s="189">
        <v>43845</v>
      </c>
      <c r="E52" s="189">
        <v>23664</v>
      </c>
      <c r="F52" s="189">
        <v>16852</v>
      </c>
      <c r="G52" s="189">
        <v>22309</v>
      </c>
      <c r="H52" s="190">
        <v>33316.135000000002</v>
      </c>
      <c r="I52" s="190">
        <v>17257.3</v>
      </c>
      <c r="J52" s="184">
        <v>22524.060300000001</v>
      </c>
      <c r="K52" s="184">
        <v>38590</v>
      </c>
      <c r="L52" s="184">
        <v>20094.605800000001</v>
      </c>
      <c r="M52" s="184">
        <v>15412</v>
      </c>
      <c r="N52" s="184">
        <v>46331</v>
      </c>
      <c r="O52" s="184">
        <v>30843</v>
      </c>
      <c r="P52" s="184">
        <v>35011.893499999998</v>
      </c>
      <c r="Q52" s="184">
        <v>14182.554</v>
      </c>
      <c r="R52" s="184">
        <v>22688</v>
      </c>
      <c r="S52" s="184">
        <v>1496</v>
      </c>
      <c r="T52" s="184">
        <v>1630</v>
      </c>
      <c r="U52" s="184">
        <v>25215</v>
      </c>
      <c r="V52" s="184">
        <v>29094.3</v>
      </c>
      <c r="W52" s="185">
        <v>32533.05</v>
      </c>
      <c r="X52" s="184">
        <v>252705.81</v>
      </c>
      <c r="Y52" s="184">
        <v>385613</v>
      </c>
      <c r="Z52" s="184">
        <v>503044</v>
      </c>
      <c r="AA52" s="184">
        <v>461216.73</v>
      </c>
      <c r="AB52" s="184">
        <v>32734</v>
      </c>
      <c r="AC52" s="184">
        <v>147123</v>
      </c>
      <c r="AD52" s="184">
        <v>184472</v>
      </c>
      <c r="AE52" s="184">
        <v>220659</v>
      </c>
      <c r="AF52" s="184">
        <v>33736</v>
      </c>
      <c r="AH52" s="239"/>
      <c r="AI52" s="239"/>
    </row>
    <row r="53" spans="1:35" s="232" customFormat="1" thickBot="1">
      <c r="A53" s="227" t="s">
        <v>642</v>
      </c>
      <c r="B53" s="227" t="s">
        <v>575</v>
      </c>
      <c r="C53" s="189">
        <v>0</v>
      </c>
      <c r="D53" s="189">
        <v>0</v>
      </c>
      <c r="E53" s="189">
        <v>0</v>
      </c>
      <c r="F53" s="189">
        <v>0</v>
      </c>
      <c r="G53" s="189">
        <v>0</v>
      </c>
      <c r="H53" s="190">
        <v>0</v>
      </c>
      <c r="I53" s="190">
        <v>0</v>
      </c>
      <c r="J53" s="184">
        <v>0</v>
      </c>
      <c r="K53" s="184">
        <v>0</v>
      </c>
      <c r="L53" s="184">
        <v>0</v>
      </c>
      <c r="M53" s="184">
        <v>0</v>
      </c>
      <c r="N53" s="184">
        <v>0</v>
      </c>
      <c r="O53" s="184">
        <v>0</v>
      </c>
      <c r="P53" s="184">
        <v>0</v>
      </c>
      <c r="Q53" s="184">
        <v>0</v>
      </c>
      <c r="R53" s="184">
        <v>0</v>
      </c>
      <c r="S53" s="184">
        <v>0</v>
      </c>
      <c r="T53" s="184">
        <v>0</v>
      </c>
      <c r="U53" s="184">
        <v>0</v>
      </c>
      <c r="V53" s="184">
        <v>0</v>
      </c>
      <c r="W53" s="185">
        <v>0</v>
      </c>
      <c r="X53" s="184">
        <v>272.16000000000003</v>
      </c>
      <c r="Y53" s="184">
        <v>868</v>
      </c>
      <c r="Z53" s="184">
        <v>198</v>
      </c>
      <c r="AA53" s="184">
        <v>239.68</v>
      </c>
      <c r="AB53" s="184">
        <v>440</v>
      </c>
      <c r="AC53" s="184">
        <v>435</v>
      </c>
      <c r="AD53" s="184">
        <v>607</v>
      </c>
      <c r="AE53" s="184">
        <v>3108</v>
      </c>
      <c r="AF53" s="184">
        <v>1634</v>
      </c>
      <c r="AG53" s="239"/>
      <c r="AH53" s="239"/>
    </row>
    <row r="54" spans="1:35" s="232" customFormat="1" thickBot="1">
      <c r="A54" s="229" t="s">
        <v>244</v>
      </c>
      <c r="B54" s="229" t="s">
        <v>576</v>
      </c>
      <c r="C54" s="189">
        <v>1422282</v>
      </c>
      <c r="D54" s="189">
        <v>1350645</v>
      </c>
      <c r="E54" s="189">
        <v>1373535</v>
      </c>
      <c r="F54" s="189">
        <v>1338560</v>
      </c>
      <c r="G54" s="189">
        <v>1736811</v>
      </c>
      <c r="H54" s="190">
        <v>2030468.1267029266</v>
      </c>
      <c r="I54" s="190">
        <v>2395624.3989315433</v>
      </c>
      <c r="J54" s="184">
        <v>2789412</v>
      </c>
      <c r="K54" s="184">
        <v>2137498</v>
      </c>
      <c r="L54" s="184">
        <v>2230216.13400468</v>
      </c>
      <c r="M54" s="184">
        <v>2205831</v>
      </c>
      <c r="N54" s="184">
        <v>2177269</v>
      </c>
      <c r="O54" s="184">
        <v>2219386</v>
      </c>
      <c r="P54" s="184">
        <v>2548419.4</v>
      </c>
      <c r="Q54" s="184">
        <v>2387964.7971782368</v>
      </c>
      <c r="R54" s="184">
        <v>2357807</v>
      </c>
      <c r="S54" s="184">
        <v>2276374</v>
      </c>
      <c r="T54" s="184">
        <v>2415852</v>
      </c>
      <c r="U54" s="184">
        <v>2991640</v>
      </c>
      <c r="V54" s="184">
        <v>2375469.31</v>
      </c>
      <c r="W54" s="185">
        <v>2881331.31</v>
      </c>
      <c r="X54" s="184">
        <v>2541816.8199999998</v>
      </c>
      <c r="Y54" s="184">
        <v>2752626</v>
      </c>
      <c r="Z54" s="184">
        <v>2862331</v>
      </c>
      <c r="AA54" s="184">
        <v>3252130.78</v>
      </c>
      <c r="AB54" s="184">
        <v>3574352</v>
      </c>
      <c r="AC54" s="184">
        <v>2849135</v>
      </c>
      <c r="AD54" s="184">
        <v>2566893</v>
      </c>
      <c r="AE54" s="184">
        <v>2275668</v>
      </c>
      <c r="AF54" s="184">
        <v>2748708</v>
      </c>
      <c r="AG54" s="239"/>
      <c r="AI54" s="239"/>
    </row>
    <row r="55" spans="1:35" s="232" customFormat="1" thickBot="1">
      <c r="A55" s="231" t="s">
        <v>19</v>
      </c>
      <c r="B55" s="231" t="s">
        <v>577</v>
      </c>
      <c r="C55" s="195">
        <v>63368816</v>
      </c>
      <c r="D55" s="195">
        <v>65277346</v>
      </c>
      <c r="E55" s="195">
        <v>64758138</v>
      </c>
      <c r="F55" s="195">
        <v>65296914</v>
      </c>
      <c r="G55" s="195">
        <v>72074528</v>
      </c>
      <c r="H55" s="196">
        <v>73789600.955828413</v>
      </c>
      <c r="I55" s="196">
        <v>84966107.870591551</v>
      </c>
      <c r="J55" s="197">
        <v>88992699.267859995</v>
      </c>
      <c r="K55" s="197">
        <v>88974875</v>
      </c>
      <c r="L55" s="197">
        <v>92915311.070964679</v>
      </c>
      <c r="M55" s="197">
        <v>93210555</v>
      </c>
      <c r="N55" s="197">
        <v>92856079.283289999</v>
      </c>
      <c r="O55" s="197">
        <v>88231809</v>
      </c>
      <c r="P55" s="197">
        <v>94678847.330540016</v>
      </c>
      <c r="Q55" s="197">
        <v>95730719.59364824</v>
      </c>
      <c r="R55" s="197">
        <v>95812716</v>
      </c>
      <c r="S55" s="197">
        <v>97216662</v>
      </c>
      <c r="T55" s="197">
        <v>103558290</v>
      </c>
      <c r="U55" s="197">
        <v>103079480</v>
      </c>
      <c r="V55" s="195">
        <v>105327992.46000001</v>
      </c>
      <c r="W55" s="196">
        <v>105447562.33000003</v>
      </c>
      <c r="X55" s="195">
        <v>107755472.26000002</v>
      </c>
      <c r="Y55" s="195">
        <v>108466420</v>
      </c>
      <c r="Z55" s="195">
        <v>117263002</v>
      </c>
      <c r="AA55" s="195">
        <v>118625109.08999999</v>
      </c>
      <c r="AB55" s="195">
        <v>125055908</v>
      </c>
      <c r="AC55" s="195">
        <v>128190712</v>
      </c>
      <c r="AD55" s="195">
        <v>127942599</v>
      </c>
      <c r="AE55" s="195">
        <v>131379898</v>
      </c>
      <c r="AF55" s="195">
        <v>134754578</v>
      </c>
      <c r="AH55" s="239"/>
      <c r="AI55" s="239"/>
    </row>
    <row r="56" spans="1:35" s="232" customFormat="1" thickBot="1">
      <c r="A56" s="229" t="s">
        <v>20</v>
      </c>
      <c r="B56" s="229" t="s">
        <v>578</v>
      </c>
      <c r="C56" s="207"/>
      <c r="D56" s="207"/>
      <c r="E56" s="207"/>
      <c r="F56" s="207"/>
      <c r="G56" s="207"/>
      <c r="H56" s="208"/>
      <c r="I56" s="208"/>
      <c r="J56" s="209"/>
      <c r="K56" s="209"/>
      <c r="L56" s="209"/>
      <c r="M56" s="209"/>
      <c r="N56" s="209"/>
      <c r="O56" s="235"/>
      <c r="P56" s="235"/>
      <c r="Q56" s="209"/>
      <c r="R56" s="209"/>
      <c r="S56" s="209"/>
      <c r="T56" s="209"/>
      <c r="U56" s="209"/>
      <c r="V56" s="184"/>
      <c r="W56" s="185"/>
      <c r="X56" s="184"/>
      <c r="Y56" s="184"/>
      <c r="Z56" s="184"/>
      <c r="AA56" s="184"/>
      <c r="AB56" s="184"/>
      <c r="AC56" s="184"/>
      <c r="AD56" s="184"/>
      <c r="AE56" s="184"/>
      <c r="AF56" s="184"/>
      <c r="AG56" s="239"/>
      <c r="AH56" s="239"/>
    </row>
    <row r="57" spans="1:35" s="232" customFormat="1" thickBot="1">
      <c r="A57" s="227" t="s">
        <v>643</v>
      </c>
      <c r="B57" s="227" t="s">
        <v>71</v>
      </c>
      <c r="C57" s="189">
        <v>1213117</v>
      </c>
      <c r="D57" s="189">
        <v>1213117</v>
      </c>
      <c r="E57" s="189">
        <v>1213117</v>
      </c>
      <c r="F57" s="189">
        <v>1213117</v>
      </c>
      <c r="G57" s="189">
        <v>1213117</v>
      </c>
      <c r="H57" s="190">
        <v>1213117</v>
      </c>
      <c r="I57" s="190">
        <v>1213117.0001200002</v>
      </c>
      <c r="J57" s="184">
        <v>1213117.0001200002</v>
      </c>
      <c r="K57" s="184">
        <v>1213117.0001200002</v>
      </c>
      <c r="L57" s="184">
        <v>1213117</v>
      </c>
      <c r="M57" s="184">
        <v>1213117</v>
      </c>
      <c r="N57" s="184">
        <v>1213117</v>
      </c>
      <c r="O57" s="184">
        <v>1213117</v>
      </c>
      <c r="P57" s="184">
        <v>1213117</v>
      </c>
      <c r="Q57" s="184">
        <v>1213117</v>
      </c>
      <c r="R57" s="184">
        <v>1213117</v>
      </c>
      <c r="S57" s="184">
        <v>1213117</v>
      </c>
      <c r="T57" s="184">
        <v>1213117</v>
      </c>
      <c r="U57" s="184">
        <v>1213117</v>
      </c>
      <c r="V57" s="184">
        <v>1213116.78</v>
      </c>
      <c r="W57" s="185">
        <v>1213116.78</v>
      </c>
      <c r="X57" s="184">
        <v>1213116.78</v>
      </c>
      <c r="Y57" s="184">
        <v>1213117</v>
      </c>
      <c r="Z57" s="184">
        <v>1213117</v>
      </c>
      <c r="AA57" s="184">
        <v>1213116.78</v>
      </c>
      <c r="AB57" s="184">
        <v>1213117</v>
      </c>
      <c r="AC57" s="184">
        <v>1213117</v>
      </c>
      <c r="AD57" s="184">
        <v>1213117</v>
      </c>
      <c r="AE57" s="184">
        <v>1213117</v>
      </c>
      <c r="AF57" s="184">
        <v>1213117</v>
      </c>
      <c r="AG57" s="239"/>
      <c r="AI57" s="239"/>
    </row>
    <row r="58" spans="1:35" s="232" customFormat="1" thickBot="1">
      <c r="A58" s="227" t="s">
        <v>644</v>
      </c>
      <c r="B58" s="227" t="s">
        <v>477</v>
      </c>
      <c r="C58" s="189"/>
      <c r="D58" s="189"/>
      <c r="E58" s="189"/>
      <c r="F58" s="189"/>
      <c r="G58" s="189"/>
      <c r="H58" s="190"/>
      <c r="I58" s="190"/>
      <c r="J58" s="184"/>
      <c r="K58" s="184">
        <v>0</v>
      </c>
      <c r="L58" s="184"/>
      <c r="M58" s="184">
        <v>0</v>
      </c>
      <c r="N58" s="184">
        <v>-3120</v>
      </c>
      <c r="O58" s="184">
        <v>-21</v>
      </c>
      <c r="P58" s="184">
        <v>-21</v>
      </c>
      <c r="Q58" s="184">
        <v>-3386</v>
      </c>
      <c r="R58" s="184">
        <v>-3395</v>
      </c>
      <c r="S58" s="184">
        <v>-21</v>
      </c>
      <c r="T58" s="184">
        <v>-21</v>
      </c>
      <c r="U58" s="184">
        <v>-21</v>
      </c>
      <c r="V58" s="184">
        <v>-21</v>
      </c>
      <c r="W58" s="185">
        <v>-21</v>
      </c>
      <c r="X58" s="184">
        <v>-21</v>
      </c>
      <c r="Y58" s="184">
        <v>-21</v>
      </c>
      <c r="Z58" s="184">
        <v>-21</v>
      </c>
      <c r="AA58" s="184">
        <v>-21</v>
      </c>
      <c r="AB58" s="184">
        <v>-21</v>
      </c>
      <c r="AC58" s="184">
        <v>-21</v>
      </c>
      <c r="AD58" s="184">
        <v>-21</v>
      </c>
      <c r="AE58" s="184">
        <v>-21</v>
      </c>
      <c r="AF58" s="184">
        <v>-21</v>
      </c>
      <c r="AH58" s="239"/>
    </row>
    <row r="59" spans="1:35" s="232" customFormat="1" thickBot="1">
      <c r="A59" s="227" t="s">
        <v>21</v>
      </c>
      <c r="B59" s="227" t="s">
        <v>579</v>
      </c>
      <c r="C59" s="189">
        <v>1147502</v>
      </c>
      <c r="D59" s="189">
        <v>1147502</v>
      </c>
      <c r="E59" s="189">
        <v>1147502</v>
      </c>
      <c r="F59" s="189">
        <v>1147502</v>
      </c>
      <c r="G59" s="189">
        <v>1147502</v>
      </c>
      <c r="H59" s="190">
        <v>1147502</v>
      </c>
      <c r="I59" s="190">
        <v>1147502</v>
      </c>
      <c r="J59" s="184">
        <v>1147502</v>
      </c>
      <c r="K59" s="184">
        <v>1147502</v>
      </c>
      <c r="L59" s="184">
        <v>1147502</v>
      </c>
      <c r="M59" s="184">
        <v>1147502</v>
      </c>
      <c r="N59" s="184">
        <v>1147502</v>
      </c>
      <c r="O59" s="184">
        <v>1147502</v>
      </c>
      <c r="P59" s="184">
        <v>1147502</v>
      </c>
      <c r="Q59" s="184">
        <v>1147502</v>
      </c>
      <c r="R59" s="184">
        <v>1147502</v>
      </c>
      <c r="S59" s="184">
        <v>1147502</v>
      </c>
      <c r="T59" s="184">
        <v>1147502</v>
      </c>
      <c r="U59" s="184">
        <v>1147502</v>
      </c>
      <c r="V59" s="184">
        <v>1147502.51</v>
      </c>
      <c r="W59" s="185">
        <v>1147502.51</v>
      </c>
      <c r="X59" s="184">
        <v>1147502.25</v>
      </c>
      <c r="Y59" s="184">
        <v>1147502</v>
      </c>
      <c r="Z59" s="184">
        <v>1147502</v>
      </c>
      <c r="AA59" s="184">
        <v>1147502.25</v>
      </c>
      <c r="AB59" s="184">
        <v>1147502</v>
      </c>
      <c r="AC59" s="184">
        <v>1147502</v>
      </c>
      <c r="AD59" s="184">
        <v>1147502</v>
      </c>
      <c r="AE59" s="184">
        <v>1147502</v>
      </c>
      <c r="AF59" s="184">
        <v>1147502</v>
      </c>
      <c r="AG59" s="239"/>
      <c r="AI59" s="239"/>
    </row>
    <row r="60" spans="1:35" s="232" customFormat="1" thickBot="1">
      <c r="A60" s="227" t="s">
        <v>245</v>
      </c>
      <c r="B60" s="227" t="s">
        <v>246</v>
      </c>
      <c r="C60" s="189">
        <v>-34795</v>
      </c>
      <c r="D60" s="189">
        <v>26618</v>
      </c>
      <c r="E60" s="189">
        <v>9712</v>
      </c>
      <c r="F60" s="189">
        <v>13223</v>
      </c>
      <c r="G60" s="189">
        <v>73692</v>
      </c>
      <c r="H60" s="190">
        <v>46531.655979999996</v>
      </c>
      <c r="I60" s="190">
        <v>59879.74136</v>
      </c>
      <c r="J60" s="184">
        <v>76979.009550000017</v>
      </c>
      <c r="K60" s="184">
        <v>70093</v>
      </c>
      <c r="L60" s="184">
        <v>125940.50602</v>
      </c>
      <c r="M60" s="184">
        <v>256693</v>
      </c>
      <c r="N60" s="184">
        <v>221906</v>
      </c>
      <c r="O60" s="184">
        <v>199857</v>
      </c>
      <c r="P60" s="184">
        <v>107553.72374000002</v>
      </c>
      <c r="Q60" s="184">
        <v>204.26818999999455</v>
      </c>
      <c r="R60" s="184">
        <v>-86025</v>
      </c>
      <c r="S60" s="184">
        <v>-858633</v>
      </c>
      <c r="T60" s="184">
        <v>-1235864</v>
      </c>
      <c r="U60" s="184">
        <v>-1509919</v>
      </c>
      <c r="V60" s="184">
        <v>-1421974.27</v>
      </c>
      <c r="W60" s="185">
        <v>-1042283.98</v>
      </c>
      <c r="X60" s="184">
        <v>-716333.85</v>
      </c>
      <c r="Y60" s="184">
        <v>-537405</v>
      </c>
      <c r="Z60" s="184">
        <v>-350934</v>
      </c>
      <c r="AA60" s="184">
        <v>-217512.4</v>
      </c>
      <c r="AB60" s="184">
        <v>-158693</v>
      </c>
      <c r="AC60" s="184">
        <v>-124982</v>
      </c>
      <c r="AD60" s="184">
        <v>-13965</v>
      </c>
      <c r="AE60" s="184">
        <v>-59984</v>
      </c>
      <c r="AF60" s="184">
        <v>-1572</v>
      </c>
      <c r="AH60" s="239"/>
      <c r="AI60" s="239"/>
    </row>
    <row r="61" spans="1:35" s="232" customFormat="1" thickBot="1">
      <c r="A61" s="227" t="s">
        <v>22</v>
      </c>
      <c r="B61" s="227" t="s">
        <v>72</v>
      </c>
      <c r="C61" s="189">
        <v>5446775</v>
      </c>
      <c r="D61" s="189">
        <v>5344700</v>
      </c>
      <c r="E61" s="189">
        <v>5537369</v>
      </c>
      <c r="F61" s="189">
        <v>5737558</v>
      </c>
      <c r="G61" s="189">
        <v>5950075</v>
      </c>
      <c r="H61" s="190">
        <v>6110041.416657621</v>
      </c>
      <c r="I61" s="190">
        <v>6283698.3481476214</v>
      </c>
      <c r="J61" s="184">
        <v>6483838.1962176198</v>
      </c>
      <c r="K61" s="184">
        <v>6510807</v>
      </c>
      <c r="L61" s="184">
        <v>6528936.0194223197</v>
      </c>
      <c r="M61" s="184">
        <v>6582531</v>
      </c>
      <c r="N61" s="184">
        <v>6642677</v>
      </c>
      <c r="O61" s="184">
        <v>6530521</v>
      </c>
      <c r="P61" s="184">
        <v>6219183</v>
      </c>
      <c r="Q61" s="184">
        <v>6018873.0271621207</v>
      </c>
      <c r="R61" s="184">
        <v>5707565</v>
      </c>
      <c r="S61" s="184">
        <v>5195281</v>
      </c>
      <c r="T61" s="184">
        <v>5072941</v>
      </c>
      <c r="U61" s="184">
        <v>4928057</v>
      </c>
      <c r="V61" s="184">
        <v>3927156.26</v>
      </c>
      <c r="W61" s="185">
        <v>4176093.09</v>
      </c>
      <c r="X61" s="184">
        <v>4428238.72</v>
      </c>
      <c r="Y61" s="184">
        <v>4534010</v>
      </c>
      <c r="Z61" s="184">
        <v>4636710</v>
      </c>
      <c r="AA61" s="184">
        <v>4751809.03</v>
      </c>
      <c r="AB61" s="184">
        <v>4880235</v>
      </c>
      <c r="AC61" s="184">
        <v>5108742</v>
      </c>
      <c r="AD61" s="184">
        <v>5298505</v>
      </c>
      <c r="AE61" s="184">
        <v>5471020</v>
      </c>
      <c r="AF61" s="184">
        <v>5650289</v>
      </c>
      <c r="AG61" s="239"/>
      <c r="AH61" s="239"/>
      <c r="AI61" s="239"/>
    </row>
    <row r="62" spans="1:35" s="232" customFormat="1" thickBot="1">
      <c r="A62" s="228" t="s">
        <v>645</v>
      </c>
      <c r="B62" s="228" t="s">
        <v>580</v>
      </c>
      <c r="C62" s="186">
        <v>7772599</v>
      </c>
      <c r="D62" s="186">
        <v>7731937</v>
      </c>
      <c r="E62" s="186">
        <v>7907700</v>
      </c>
      <c r="F62" s="186">
        <v>8111400</v>
      </c>
      <c r="G62" s="186">
        <v>8384386</v>
      </c>
      <c r="H62" s="187">
        <v>8517192.0726376213</v>
      </c>
      <c r="I62" s="187">
        <v>8704197.0896276217</v>
      </c>
      <c r="J62" s="188">
        <v>8921436.2058876194</v>
      </c>
      <c r="K62" s="188">
        <v>8941519.0001199991</v>
      </c>
      <c r="L62" s="188">
        <v>9015495.5254423209</v>
      </c>
      <c r="M62" s="188">
        <v>9199843</v>
      </c>
      <c r="N62" s="188">
        <v>9222082</v>
      </c>
      <c r="O62" s="188">
        <v>9090976</v>
      </c>
      <c r="P62" s="188">
        <v>8687334.7237400003</v>
      </c>
      <c r="Q62" s="188">
        <v>8376310.2953521209</v>
      </c>
      <c r="R62" s="188">
        <v>7978764</v>
      </c>
      <c r="S62" s="188">
        <v>6697246</v>
      </c>
      <c r="T62" s="188">
        <v>6197675</v>
      </c>
      <c r="U62" s="188">
        <v>5778736</v>
      </c>
      <c r="V62" s="186">
        <v>4865780.2799999993</v>
      </c>
      <c r="W62" s="187">
        <v>5494407.4000000004</v>
      </c>
      <c r="X62" s="186">
        <v>6072502.9000000004</v>
      </c>
      <c r="Y62" s="186">
        <v>6357203</v>
      </c>
      <c r="Z62" s="186">
        <v>6646374</v>
      </c>
      <c r="AA62" s="186">
        <v>6894894.6600000001</v>
      </c>
      <c r="AB62" s="186">
        <v>7082140</v>
      </c>
      <c r="AC62" s="186">
        <v>7344358</v>
      </c>
      <c r="AD62" s="186">
        <v>7645138</v>
      </c>
      <c r="AE62" s="186">
        <v>7771634</v>
      </c>
      <c r="AF62" s="186">
        <v>8009315</v>
      </c>
      <c r="AG62" s="239"/>
      <c r="AH62" s="239"/>
      <c r="AI62" s="239"/>
    </row>
    <row r="63" spans="1:35" s="232" customFormat="1" thickBot="1">
      <c r="A63" s="231" t="s">
        <v>646</v>
      </c>
      <c r="B63" s="231" t="s">
        <v>581</v>
      </c>
      <c r="C63" s="195">
        <v>71141415</v>
      </c>
      <c r="D63" s="195">
        <v>73009283</v>
      </c>
      <c r="E63" s="195">
        <v>72665838</v>
      </c>
      <c r="F63" s="195">
        <v>73408314</v>
      </c>
      <c r="G63" s="195">
        <v>80458914</v>
      </c>
      <c r="H63" s="196">
        <v>82306793.028466031</v>
      </c>
      <c r="I63" s="196">
        <v>93670304.960219175</v>
      </c>
      <c r="J63" s="197">
        <v>97914135.473747611</v>
      </c>
      <c r="K63" s="197">
        <v>97916394.000119999</v>
      </c>
      <c r="L63" s="197">
        <v>101930806.596407</v>
      </c>
      <c r="M63" s="197">
        <v>102410398</v>
      </c>
      <c r="N63" s="197">
        <v>102078161.28329</v>
      </c>
      <c r="O63" s="197">
        <v>97322785</v>
      </c>
      <c r="P63" s="197">
        <v>103366182.05428001</v>
      </c>
      <c r="Q63" s="197">
        <v>104107029.88900036</v>
      </c>
      <c r="R63" s="197">
        <v>103791480</v>
      </c>
      <c r="S63" s="197">
        <v>103913908</v>
      </c>
      <c r="T63" s="197">
        <v>109755965</v>
      </c>
      <c r="U63" s="197">
        <v>108858216</v>
      </c>
      <c r="V63" s="195">
        <v>110193772.74000001</v>
      </c>
      <c r="W63" s="196">
        <v>110941969.73000003</v>
      </c>
      <c r="X63" s="195">
        <v>113827975.16000003</v>
      </c>
      <c r="Y63" s="195">
        <v>114823623</v>
      </c>
      <c r="Z63" s="195">
        <v>123909376</v>
      </c>
      <c r="AA63" s="195">
        <v>125520003.74999999</v>
      </c>
      <c r="AB63" s="195">
        <v>132138048</v>
      </c>
      <c r="AC63" s="195">
        <v>135535070</v>
      </c>
      <c r="AD63" s="195">
        <v>135587737</v>
      </c>
      <c r="AE63" s="195">
        <v>139151532</v>
      </c>
      <c r="AF63" s="195">
        <v>142763893</v>
      </c>
      <c r="AG63" s="239"/>
      <c r="AH63" s="239"/>
      <c r="AI63" s="239"/>
    </row>
  </sheetData>
  <phoneticPr fontId="26" type="noConversion"/>
  <printOptions gridLines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56e3ab04-e609-4bbf-80d0-e25f460254ff}" enabled="1" method="Standard" siteId="{0d320d22-34e3-428a-bd15-6025042276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P&amp;L</vt:lpstr>
      <vt:lpstr>Interest</vt:lpstr>
      <vt:lpstr>Fees</vt:lpstr>
      <vt:lpstr>Cost</vt:lpstr>
      <vt:lpstr>Segm Retail</vt:lpstr>
      <vt:lpstr>Segm Corpo</vt:lpstr>
      <vt:lpstr>Segm ALM&amp;Treas</vt:lpstr>
      <vt:lpstr>Segm FX mortg</vt:lpstr>
      <vt:lpstr>BS new</vt:lpstr>
      <vt:lpstr>L&amp;D</vt:lpstr>
      <vt:lpstr>Loan book quality</vt:lpstr>
      <vt:lpstr>Capital Adequacy</vt:lpstr>
    </vt:vector>
  </TitlesOfParts>
  <Company>MILLENNIUM BANK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ADAM MISKOW</dc:creator>
  <cp:lastModifiedBy>MISKOW MAREK</cp:lastModifiedBy>
  <cp:lastPrinted>2019-07-31T11:53:09Z</cp:lastPrinted>
  <dcterms:created xsi:type="dcterms:W3CDTF">2012-01-27T14:48:26Z</dcterms:created>
  <dcterms:modified xsi:type="dcterms:W3CDTF">2025-05-11T09:22:03Z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{615489C7-5661-4B3C-A04A-BA5EB5B65358}</vt:lpwstr>
  </property>
  <property fmtid="{D5CDD505-2E9C-101B-9397-08002B2CF9AE}" pid="3" name="MSIP_Label_56e3ab04-e609-4bbf-80d0-e25f460254ff_Enabled">
    <vt:lpwstr>true</vt:lpwstr>
  </property>
  <property fmtid="{D5CDD505-2E9C-101B-9397-08002B2CF9AE}" pid="4" name="MSIP_Label_56e3ab04-e609-4bbf-80d0-e25f460254ff_SetDate">
    <vt:lpwstr>2021-10-25T15:15:09Z</vt:lpwstr>
  </property>
  <property fmtid="{D5CDD505-2E9C-101B-9397-08002B2CF9AE}" pid="5" name="MSIP_Label_56e3ab04-e609-4bbf-80d0-e25f460254ff_Method">
    <vt:lpwstr>Standard</vt:lpwstr>
  </property>
  <property fmtid="{D5CDD505-2E9C-101B-9397-08002B2CF9AE}" pid="6" name="MSIP_Label_56e3ab04-e609-4bbf-80d0-e25f460254ff_Name">
    <vt:lpwstr>Internal</vt:lpwstr>
  </property>
  <property fmtid="{D5CDD505-2E9C-101B-9397-08002B2CF9AE}" pid="7" name="MSIP_Label_56e3ab04-e609-4bbf-80d0-e25f460254ff_SiteId">
    <vt:lpwstr>0d320d22-34e3-428a-bd15-6025042276bf</vt:lpwstr>
  </property>
  <property fmtid="{D5CDD505-2E9C-101B-9397-08002B2CF9AE}" pid="8" name="MSIP_Label_56e3ab04-e609-4bbf-80d0-e25f460254ff_ActionId">
    <vt:lpwstr>f62a99a7-e0d8-4194-900a-be886ff6970d</vt:lpwstr>
  </property>
  <property fmtid="{D5CDD505-2E9C-101B-9397-08002B2CF9AE}" pid="9" name="MSIP_Label_56e3ab04-e609-4bbf-80d0-e25f460254ff_ContentBits">
    <vt:lpwstr>0</vt:lpwstr>
  </property>
</Properties>
</file>