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LB\DRI\Common\Investor\PREZENTACJE\IR prezent\"/>
    </mc:Choice>
  </mc:AlternateContent>
  <xr:revisionPtr revIDLastSave="0" documentId="13_ncr:1_{C11A212B-3552-4EA5-9FF7-29C5F7F2EF62}" xr6:coauthVersionLast="47" xr6:coauthVersionMax="47" xr10:uidLastSave="{00000000-0000-0000-0000-000000000000}"/>
  <bookViews>
    <workbookView xWindow="1520" yWindow="280" windowWidth="16300" windowHeight="10520" xr2:uid="{00000000-000D-0000-FFFF-FFFF00000000}"/>
  </bookViews>
  <sheets>
    <sheet name="P&amp;L" sheetId="6" r:id="rId1"/>
    <sheet name="Interest" sheetId="8" r:id="rId2"/>
    <sheet name="Fees" sheetId="4" r:id="rId3"/>
    <sheet name="Cost" sheetId="5" r:id="rId4"/>
    <sheet name="BS" sheetId="7" r:id="rId5"/>
    <sheet name="L&amp;D" sheetId="3" r:id="rId6"/>
    <sheet name="Loan book quality" sheetId="12" r:id="rId7"/>
    <sheet name="Capital Adequacy" sheetId="10" r:id="rId8"/>
    <sheet name="P&amp;L old" sheetId="1" r:id="rId9"/>
    <sheet name="BS old" sheetId="2" r:id="rId10"/>
  </sheets>
  <definedNames>
    <definedName name="_Toc206829737" localSheetId="4">BS!#REF!</definedName>
    <definedName name="_Toc206829737" localSheetId="9">'BS old'!#REF!</definedName>
    <definedName name="_Toc267739939" localSheetId="4">BS!#REF!</definedName>
    <definedName name="_Toc267739939" localSheetId="9">'BS old'!#REF!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Fees!#REF!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9" i="6" l="1"/>
  <c r="W59" i="6"/>
  <c r="W66" i="6" s="1"/>
  <c r="W69" i="6" s="1"/>
  <c r="W71" i="6" s="1"/>
  <c r="W73" i="6" s="1"/>
  <c r="V59" i="6"/>
  <c r="V66" i="6" s="1"/>
  <c r="V69" i="6" s="1"/>
  <c r="V71" i="6" s="1"/>
  <c r="V73" i="6" s="1"/>
  <c r="U59" i="6"/>
  <c r="U66" i="6" s="1"/>
  <c r="U69" i="6" s="1"/>
  <c r="U71" i="6" s="1"/>
  <c r="U73" i="6" s="1"/>
  <c r="T59" i="6"/>
  <c r="S59" i="6"/>
  <c r="W56" i="6"/>
  <c r="V56" i="6"/>
  <c r="U56" i="6"/>
  <c r="X51" i="6"/>
  <c r="W51" i="6"/>
  <c r="V51" i="6"/>
  <c r="U51" i="6"/>
  <c r="V13" i="6" s="1"/>
  <c r="T51" i="6"/>
  <c r="U13" i="6" s="1"/>
  <c r="S51" i="6"/>
  <c r="T13" i="6" s="1"/>
  <c r="S50" i="6"/>
  <c r="X47" i="6"/>
  <c r="X56" i="6" s="1"/>
  <c r="W47" i="6"/>
  <c r="V47" i="6"/>
  <c r="U47" i="6"/>
  <c r="T47" i="6"/>
  <c r="T56" i="6" s="1"/>
  <c r="S47" i="6"/>
  <c r="S56" i="6" s="1"/>
  <c r="S66" i="6" s="1"/>
  <c r="S69" i="6" s="1"/>
  <c r="S71" i="6" s="1"/>
  <c r="S73" i="6" s="1"/>
  <c r="X44" i="6"/>
  <c r="W44" i="6"/>
  <c r="V44" i="6"/>
  <c r="U44" i="6"/>
  <c r="T44" i="6"/>
  <c r="S42" i="6"/>
  <c r="S44" i="6" s="1"/>
  <c r="X36" i="6"/>
  <c r="W36" i="6"/>
  <c r="V36" i="6"/>
  <c r="U36" i="6"/>
  <c r="T36" i="6"/>
  <c r="S36" i="6"/>
  <c r="X32" i="6"/>
  <c r="W32" i="6"/>
  <c r="V32" i="6"/>
  <c r="U32" i="6"/>
  <c r="T32" i="6"/>
  <c r="S32" i="6"/>
  <c r="X30" i="6"/>
  <c r="W30" i="6"/>
  <c r="V30" i="6"/>
  <c r="U30" i="6"/>
  <c r="T30" i="6"/>
  <c r="S30" i="6"/>
  <c r="X29" i="6"/>
  <c r="W29" i="6"/>
  <c r="V29" i="6"/>
  <c r="U29" i="6"/>
  <c r="T29" i="6"/>
  <c r="S29" i="6"/>
  <c r="X27" i="6"/>
  <c r="W27" i="6"/>
  <c r="V27" i="6"/>
  <c r="U27" i="6"/>
  <c r="T27" i="6"/>
  <c r="S27" i="6"/>
  <c r="X26" i="6"/>
  <c r="W26" i="6"/>
  <c r="V26" i="6"/>
  <c r="U26" i="6"/>
  <c r="T26" i="6"/>
  <c r="S26" i="6"/>
  <c r="X25" i="6"/>
  <c r="W25" i="6"/>
  <c r="V25" i="6"/>
  <c r="U25" i="6"/>
  <c r="T25" i="6"/>
  <c r="S25" i="6"/>
  <c r="X24" i="6"/>
  <c r="W24" i="6"/>
  <c r="V24" i="6"/>
  <c r="U24" i="6"/>
  <c r="T24" i="6"/>
  <c r="S24" i="6"/>
  <c r="X23" i="6"/>
  <c r="W23" i="6"/>
  <c r="V23" i="6"/>
  <c r="U23" i="6"/>
  <c r="T23" i="6"/>
  <c r="S23" i="6"/>
  <c r="X22" i="6"/>
  <c r="W22" i="6"/>
  <c r="V22" i="6"/>
  <c r="U22" i="6"/>
  <c r="T22" i="6"/>
  <c r="S22" i="6"/>
  <c r="U21" i="6"/>
  <c r="T21" i="6"/>
  <c r="S21" i="6"/>
  <c r="X20" i="6"/>
  <c r="W20" i="6"/>
  <c r="V20" i="6"/>
  <c r="U20" i="6"/>
  <c r="T20" i="6"/>
  <c r="S20" i="6"/>
  <c r="X19" i="6"/>
  <c r="X21" i="6" s="1"/>
  <c r="W19" i="6"/>
  <c r="W21" i="6" s="1"/>
  <c r="V19" i="6"/>
  <c r="V21" i="6" s="1"/>
  <c r="U19" i="6"/>
  <c r="T19" i="6"/>
  <c r="S19" i="6"/>
  <c r="X17" i="6"/>
  <c r="W17" i="6"/>
  <c r="V17" i="6"/>
  <c r="U17" i="6"/>
  <c r="T17" i="6"/>
  <c r="S17" i="6"/>
  <c r="X16" i="6"/>
  <c r="W16" i="6"/>
  <c r="V16" i="6"/>
  <c r="U16" i="6"/>
  <c r="T16" i="6"/>
  <c r="S16" i="6"/>
  <c r="X15" i="6"/>
  <c r="W15" i="6"/>
  <c r="V15" i="6"/>
  <c r="U15" i="6"/>
  <c r="T15" i="6"/>
  <c r="S15" i="6"/>
  <c r="X14" i="6"/>
  <c r="W14" i="6"/>
  <c r="V14" i="6"/>
  <c r="U14" i="6"/>
  <c r="T14" i="6"/>
  <c r="S14" i="6"/>
  <c r="X13" i="6"/>
  <c r="W13" i="6"/>
  <c r="S13" i="6"/>
  <c r="X12" i="6"/>
  <c r="W12" i="6"/>
  <c r="V12" i="6"/>
  <c r="U12" i="6"/>
  <c r="T12" i="6"/>
  <c r="S12" i="6"/>
  <c r="X11" i="6"/>
  <c r="W11" i="6"/>
  <c r="V11" i="6"/>
  <c r="U11" i="6"/>
  <c r="T11" i="6"/>
  <c r="S11" i="6"/>
  <c r="X10" i="6"/>
  <c r="W10" i="6"/>
  <c r="V10" i="6"/>
  <c r="U10" i="6"/>
  <c r="T10" i="6"/>
  <c r="S10" i="6"/>
  <c r="U9" i="6"/>
  <c r="T9" i="6"/>
  <c r="S9" i="6"/>
  <c r="S18" i="6" s="1"/>
  <c r="X8" i="6"/>
  <c r="W8" i="6"/>
  <c r="V8" i="6"/>
  <c r="U8" i="6"/>
  <c r="T8" i="6"/>
  <c r="S8" i="6"/>
  <c r="X7" i="6"/>
  <c r="X9" i="6" s="1"/>
  <c r="X18" i="6" s="1"/>
  <c r="W7" i="6"/>
  <c r="W9" i="6" s="1"/>
  <c r="W18" i="6" s="1"/>
  <c r="V7" i="6"/>
  <c r="V9" i="6" s="1"/>
  <c r="V18" i="6" s="1"/>
  <c r="U7" i="6"/>
  <c r="T7" i="6"/>
  <c r="S7" i="6"/>
  <c r="W6" i="6"/>
  <c r="V6" i="6"/>
  <c r="U6" i="6"/>
  <c r="X5" i="6"/>
  <c r="W5" i="6"/>
  <c r="V5" i="6"/>
  <c r="U5" i="6"/>
  <c r="T5" i="6"/>
  <c r="S5" i="6"/>
  <c r="X4" i="6"/>
  <c r="X6" i="6" s="1"/>
  <c r="W4" i="6"/>
  <c r="V4" i="6"/>
  <c r="U4" i="6"/>
  <c r="S4" i="6"/>
  <c r="S6" i="6" s="1"/>
  <c r="T62" i="8"/>
  <c r="Y53" i="8"/>
  <c r="Y62" i="8" s="1"/>
  <c r="X53" i="8"/>
  <c r="X62" i="8" s="1"/>
  <c r="W53" i="8"/>
  <c r="W62" i="8" s="1"/>
  <c r="V53" i="8"/>
  <c r="V62" i="8" s="1"/>
  <c r="U53" i="8"/>
  <c r="U62" i="8" s="1"/>
  <c r="T53" i="8"/>
  <c r="W50" i="8"/>
  <c r="V50" i="8"/>
  <c r="Y46" i="8"/>
  <c r="Y50" i="8" s="1"/>
  <c r="X46" i="8"/>
  <c r="W46" i="8"/>
  <c r="V46" i="8"/>
  <c r="U46" i="8"/>
  <c r="U50" i="8" s="1"/>
  <c r="T46" i="8"/>
  <c r="T50" i="8" s="1"/>
  <c r="Y39" i="8"/>
  <c r="X39" i="8"/>
  <c r="W39" i="8"/>
  <c r="V39" i="8"/>
  <c r="U39" i="8"/>
  <c r="T39" i="8"/>
  <c r="Y37" i="8"/>
  <c r="X37" i="8"/>
  <c r="X50" i="8" s="1"/>
  <c r="W37" i="8"/>
  <c r="V37" i="8"/>
  <c r="U37" i="8"/>
  <c r="T37" i="8"/>
  <c r="Y29" i="8"/>
  <c r="X29" i="8"/>
  <c r="W29" i="8"/>
  <c r="V29" i="8"/>
  <c r="U29" i="8"/>
  <c r="U30" i="8" s="1"/>
  <c r="T29" i="8"/>
  <c r="T30" i="8" s="1"/>
  <c r="Y28" i="8"/>
  <c r="X28" i="8"/>
  <c r="W28" i="8"/>
  <c r="V28" i="8"/>
  <c r="U28" i="8"/>
  <c r="T28" i="8"/>
  <c r="Y27" i="8"/>
  <c r="X27" i="8"/>
  <c r="W27" i="8"/>
  <c r="V27" i="8"/>
  <c r="U27" i="8"/>
  <c r="T27" i="8"/>
  <c r="Y26" i="8"/>
  <c r="X26" i="8"/>
  <c r="W26" i="8"/>
  <c r="V26" i="8"/>
  <c r="U26" i="8"/>
  <c r="T26" i="8"/>
  <c r="Y25" i="8"/>
  <c r="X25" i="8"/>
  <c r="W25" i="8"/>
  <c r="V25" i="8"/>
  <c r="U25" i="8"/>
  <c r="T25" i="8"/>
  <c r="Y24" i="8"/>
  <c r="X24" i="8"/>
  <c r="W24" i="8"/>
  <c r="V24" i="8"/>
  <c r="U24" i="8"/>
  <c r="T24" i="8"/>
  <c r="Y23" i="8"/>
  <c r="Y21" i="8" s="1"/>
  <c r="X23" i="8"/>
  <c r="W23" i="8"/>
  <c r="V23" i="8"/>
  <c r="U23" i="8"/>
  <c r="T23" i="8"/>
  <c r="Y22" i="8"/>
  <c r="X22" i="8"/>
  <c r="X21" i="8" s="1"/>
  <c r="X30" i="8" s="1"/>
  <c r="W22" i="8"/>
  <c r="W21" i="8" s="1"/>
  <c r="W30" i="8" s="1"/>
  <c r="V22" i="8"/>
  <c r="V21" i="8" s="1"/>
  <c r="V30" i="8" s="1"/>
  <c r="U22" i="8"/>
  <c r="T22" i="8"/>
  <c r="U21" i="8"/>
  <c r="T21" i="8"/>
  <c r="Y17" i="8"/>
  <c r="X17" i="8"/>
  <c r="X14" i="8" s="1"/>
  <c r="W17" i="8"/>
  <c r="V17" i="8"/>
  <c r="U17" i="8"/>
  <c r="T17" i="8"/>
  <c r="Y16" i="8"/>
  <c r="X16" i="8"/>
  <c r="W16" i="8"/>
  <c r="W14" i="8" s="1"/>
  <c r="W18" i="8" s="1"/>
  <c r="V16" i="8"/>
  <c r="V14" i="8" s="1"/>
  <c r="V18" i="8" s="1"/>
  <c r="U16" i="8"/>
  <c r="Y15" i="8"/>
  <c r="X15" i="8"/>
  <c r="W15" i="8"/>
  <c r="V15" i="8"/>
  <c r="U15" i="8"/>
  <c r="U14" i="8" s="1"/>
  <c r="T15" i="8"/>
  <c r="T14" i="8" s="1"/>
  <c r="T18" i="8" s="1"/>
  <c r="Y14" i="8"/>
  <c r="Y13" i="8"/>
  <c r="X13" i="8"/>
  <c r="W13" i="8"/>
  <c r="V13" i="8"/>
  <c r="U13" i="8"/>
  <c r="T13" i="8"/>
  <c r="Y12" i="8"/>
  <c r="X12" i="8"/>
  <c r="W12" i="8"/>
  <c r="V12" i="8"/>
  <c r="U12" i="8"/>
  <c r="T12" i="8"/>
  <c r="Y11" i="8"/>
  <c r="X11" i="8"/>
  <c r="W11" i="8"/>
  <c r="V11" i="8"/>
  <c r="U11" i="8"/>
  <c r="T11" i="8"/>
  <c r="Y10" i="8"/>
  <c r="Y7" i="8" s="1"/>
  <c r="X10" i="8"/>
  <c r="W10" i="8"/>
  <c r="V10" i="8"/>
  <c r="U10" i="8"/>
  <c r="T10" i="8"/>
  <c r="Y9" i="8"/>
  <c r="X9" i="8"/>
  <c r="W9" i="8"/>
  <c r="W7" i="8" s="1"/>
  <c r="V9" i="8"/>
  <c r="U9" i="8"/>
  <c r="T9" i="8"/>
  <c r="Y8" i="8"/>
  <c r="X8" i="8"/>
  <c r="X7" i="8" s="1"/>
  <c r="W8" i="8"/>
  <c r="V8" i="8"/>
  <c r="U8" i="8"/>
  <c r="U7" i="8" s="1"/>
  <c r="T8" i="8"/>
  <c r="V7" i="8"/>
  <c r="T7" i="8"/>
  <c r="Y6" i="8"/>
  <c r="Y5" i="8" s="1"/>
  <c r="X6" i="8"/>
  <c r="W6" i="8"/>
  <c r="V6" i="8"/>
  <c r="U6" i="8"/>
  <c r="T6" i="8"/>
  <c r="T5" i="8" s="1"/>
  <c r="X5" i="8"/>
  <c r="W5" i="8"/>
  <c r="V5" i="8"/>
  <c r="U5" i="8"/>
  <c r="AJ80" i="4"/>
  <c r="AJ79" i="4"/>
  <c r="AJ78" i="4"/>
  <c r="AJ77" i="4"/>
  <c r="AJ76" i="4"/>
  <c r="AJ75" i="4"/>
  <c r="AJ74" i="4"/>
  <c r="AJ73" i="4"/>
  <c r="AJ72" i="4"/>
  <c r="AJ81" i="4" s="1"/>
  <c r="AJ71" i="4"/>
  <c r="AJ68" i="4"/>
  <c r="AJ55" i="4"/>
  <c r="AJ37" i="4"/>
  <c r="AJ33" i="4"/>
  <c r="AJ32" i="4"/>
  <c r="AJ26" i="4"/>
  <c r="AJ25" i="4"/>
  <c r="AJ24" i="4"/>
  <c r="AJ23" i="4"/>
  <c r="AJ36" i="4" s="1"/>
  <c r="AJ22" i="4"/>
  <c r="AJ21" i="4"/>
  <c r="AJ20" i="4"/>
  <c r="AJ19" i="4"/>
  <c r="AJ18" i="4"/>
  <c r="AJ27" i="4" s="1"/>
  <c r="AJ17" i="4"/>
  <c r="AJ13" i="4"/>
  <c r="AJ39" i="4" s="1"/>
  <c r="AJ12" i="4"/>
  <c r="AJ38" i="4" s="1"/>
  <c r="AJ11" i="4"/>
  <c r="AJ10" i="4"/>
  <c r="AJ9" i="4"/>
  <c r="AJ35" i="4" s="1"/>
  <c r="AJ8" i="4"/>
  <c r="AJ34" i="4" s="1"/>
  <c r="AJ7" i="4"/>
  <c r="AJ6" i="4"/>
  <c r="AJ5" i="4"/>
  <c r="AJ31" i="4" s="1"/>
  <c r="AJ4" i="4"/>
  <c r="AJ14" i="4" s="1"/>
  <c r="AJ36" i="5"/>
  <c r="AJ15" i="5" s="1"/>
  <c r="AJ26" i="5"/>
  <c r="AJ39" i="5" s="1"/>
  <c r="AJ17" i="5"/>
  <c r="AJ16" i="5"/>
  <c r="AJ14" i="5"/>
  <c r="AJ13" i="5"/>
  <c r="AJ12" i="5"/>
  <c r="AJ11" i="5"/>
  <c r="AJ10" i="5"/>
  <c r="AJ9" i="5"/>
  <c r="AJ8" i="5"/>
  <c r="AJ7" i="5"/>
  <c r="AJ6" i="5"/>
  <c r="AJ4" i="5"/>
  <c r="U40" i="7"/>
  <c r="U41" i="7" s="1"/>
  <c r="T40" i="7"/>
  <c r="T41" i="7" s="1"/>
  <c r="S40" i="7"/>
  <c r="S41" i="7" s="1"/>
  <c r="U38" i="7"/>
  <c r="T38" i="7"/>
  <c r="S38" i="7"/>
  <c r="R38" i="7"/>
  <c r="R40" i="7" s="1"/>
  <c r="Q38" i="7"/>
  <c r="Q40" i="7" s="1"/>
  <c r="Q41" i="7" s="1"/>
  <c r="U31" i="7"/>
  <c r="S31" i="7"/>
  <c r="Q31" i="7"/>
  <c r="U22" i="7"/>
  <c r="T22" i="7"/>
  <c r="T31" i="7" s="1"/>
  <c r="S22" i="7"/>
  <c r="R22" i="7"/>
  <c r="R31" i="7" s="1"/>
  <c r="Q22" i="7"/>
  <c r="U17" i="7"/>
  <c r="S17" i="7"/>
  <c r="R17" i="7"/>
  <c r="Q17" i="7"/>
  <c r="U9" i="7"/>
  <c r="T9" i="7"/>
  <c r="T17" i="7" s="1"/>
  <c r="S9" i="7"/>
  <c r="R9" i="7"/>
  <c r="Q9" i="7"/>
  <c r="U51" i="12"/>
  <c r="T51" i="12"/>
  <c r="S51" i="12"/>
  <c r="R51" i="12"/>
  <c r="Q51" i="12"/>
  <c r="U44" i="12"/>
  <c r="T44" i="12"/>
  <c r="S44" i="12"/>
  <c r="R44" i="12"/>
  <c r="Q44" i="12"/>
  <c r="U37" i="12"/>
  <c r="T37" i="12"/>
  <c r="S37" i="12"/>
  <c r="R37" i="12"/>
  <c r="Q37" i="12"/>
  <c r="U30" i="12"/>
  <c r="T30" i="12"/>
  <c r="S30" i="12"/>
  <c r="R30" i="12"/>
  <c r="Q30" i="12"/>
  <c r="U20" i="12"/>
  <c r="T20" i="12"/>
  <c r="U17" i="12"/>
  <c r="T17" i="12"/>
  <c r="S17" i="12"/>
  <c r="S20" i="12" s="1"/>
  <c r="R17" i="12"/>
  <c r="R20" i="12" s="1"/>
  <c r="Q17" i="12"/>
  <c r="Q20" i="12" s="1"/>
  <c r="U14" i="12"/>
  <c r="T14" i="12"/>
  <c r="S14" i="12"/>
  <c r="R14" i="12"/>
  <c r="Q14" i="12"/>
  <c r="T10" i="12"/>
  <c r="S10" i="12"/>
  <c r="U7" i="12"/>
  <c r="T7" i="12"/>
  <c r="S7" i="12"/>
  <c r="R7" i="12"/>
  <c r="R10" i="12" s="1"/>
  <c r="Q7" i="12"/>
  <c r="Q10" i="12" s="1"/>
  <c r="U4" i="12"/>
  <c r="U10" i="12" s="1"/>
  <c r="T4" i="12"/>
  <c r="S4" i="12"/>
  <c r="R4" i="12"/>
  <c r="Q4" i="12"/>
  <c r="AJ48" i="3"/>
  <c r="AJ35" i="3"/>
  <c r="AJ28" i="3"/>
  <c r="AJ25" i="3"/>
  <c r="AJ20" i="3"/>
  <c r="AJ18" i="3" s="1"/>
  <c r="AJ21" i="3" s="1"/>
  <c r="AJ22" i="3" s="1"/>
  <c r="AJ17" i="3"/>
  <c r="AJ15" i="3"/>
  <c r="AJ11" i="3"/>
  <c r="AJ29" i="3" s="1"/>
  <c r="AJ27" i="3" s="1"/>
  <c r="AJ30" i="3" s="1"/>
  <c r="AJ37" i="3" s="1"/>
  <c r="AJ9" i="3"/>
  <c r="AJ8" i="3"/>
  <c r="AJ26" i="3" s="1"/>
  <c r="AJ24" i="3" s="1"/>
  <c r="AJ6" i="3"/>
  <c r="AJ12" i="3" s="1"/>
  <c r="S35" i="6" l="1"/>
  <c r="S76" i="6"/>
  <c r="V28" i="6"/>
  <c r="V31" i="6" s="1"/>
  <c r="V33" i="6"/>
  <c r="T66" i="6"/>
  <c r="T69" i="6" s="1"/>
  <c r="T71" i="6" s="1"/>
  <c r="T73" i="6" s="1"/>
  <c r="W28" i="6"/>
  <c r="W31" i="6" s="1"/>
  <c r="W33" i="6" s="1"/>
  <c r="S28" i="6"/>
  <c r="S31" i="6" s="1"/>
  <c r="S33" i="6" s="1"/>
  <c r="U76" i="6"/>
  <c r="X28" i="6"/>
  <c r="X31" i="6" s="1"/>
  <c r="X33" i="6"/>
  <c r="V76" i="6"/>
  <c r="V35" i="6"/>
  <c r="U18" i="6"/>
  <c r="U28" i="6" s="1"/>
  <c r="U31" i="6" s="1"/>
  <c r="U33" i="6" s="1"/>
  <c r="W76" i="6"/>
  <c r="W35" i="6"/>
  <c r="X66" i="6"/>
  <c r="X69" i="6" s="1"/>
  <c r="X71" i="6" s="1"/>
  <c r="X73" i="6" s="1"/>
  <c r="T4" i="6"/>
  <c r="T6" i="6" s="1"/>
  <c r="T18" i="6" s="1"/>
  <c r="T28" i="6" s="1"/>
  <c r="T31" i="6" s="1"/>
  <c r="T33" i="6" s="1"/>
  <c r="Y18" i="8"/>
  <c r="X18" i="8"/>
  <c r="U18" i="8"/>
  <c r="Y30" i="8"/>
  <c r="AJ30" i="4"/>
  <c r="AJ40" i="4" s="1"/>
  <c r="AJ5" i="5"/>
  <c r="AJ18" i="5" s="1"/>
  <c r="R41" i="7"/>
  <c r="AJ53" i="3"/>
  <c r="T35" i="6" l="1"/>
  <c r="T76" i="6"/>
  <c r="X76" i="6"/>
  <c r="X35" i="6"/>
  <c r="U35" i="6"/>
  <c r="P51" i="12" l="1"/>
  <c r="P44" i="12"/>
  <c r="P37" i="12"/>
  <c r="P30" i="12"/>
  <c r="P17" i="12"/>
  <c r="P20" i="12" s="1"/>
  <c r="P14" i="12"/>
  <c r="P7" i="12"/>
  <c r="P4" i="12"/>
  <c r="P10" i="12" s="1"/>
  <c r="AI48" i="3"/>
  <c r="AH48" i="3"/>
  <c r="AG48" i="3"/>
  <c r="AF48" i="3"/>
  <c r="AE48" i="3"/>
  <c r="AI35" i="3"/>
  <c r="AH35" i="3"/>
  <c r="AG35" i="3"/>
  <c r="AF35" i="3"/>
  <c r="AE35" i="3"/>
  <c r="AG29" i="3"/>
  <c r="AG27" i="3" s="1"/>
  <c r="AF29" i="3"/>
  <c r="AE29" i="3"/>
  <c r="AI28" i="3"/>
  <c r="AH28" i="3"/>
  <c r="AH27" i="3" s="1"/>
  <c r="AG28" i="3"/>
  <c r="AF28" i="3"/>
  <c r="AF27" i="3" s="1"/>
  <c r="AE28" i="3"/>
  <c r="AE27" i="3"/>
  <c r="AG26" i="3"/>
  <c r="AF26" i="3"/>
  <c r="AF24" i="3" s="1"/>
  <c r="AE26" i="3"/>
  <c r="AI25" i="3"/>
  <c r="AH25" i="3"/>
  <c r="AG25" i="3"/>
  <c r="AG24" i="3" s="1"/>
  <c r="AF25" i="3"/>
  <c r="AE25" i="3"/>
  <c r="AE24" i="3" s="1"/>
  <c r="AF21" i="3"/>
  <c r="AI20" i="3"/>
  <c r="AI18" i="3" s="1"/>
  <c r="AH20" i="3"/>
  <c r="AH18" i="3" s="1"/>
  <c r="AG18" i="3"/>
  <c r="AF18" i="3"/>
  <c r="AE18" i="3"/>
  <c r="AI17" i="3"/>
  <c r="AH17" i="3"/>
  <c r="AH15" i="3" s="1"/>
  <c r="AI15" i="3"/>
  <c r="AG15" i="3"/>
  <c r="AG21" i="3" s="1"/>
  <c r="AF15" i="3"/>
  <c r="AE15" i="3"/>
  <c r="AE21" i="3" s="1"/>
  <c r="AG12" i="3"/>
  <c r="AE12" i="3"/>
  <c r="AI11" i="3"/>
  <c r="AI9" i="3" s="1"/>
  <c r="AH11" i="3"/>
  <c r="AH29" i="3" s="1"/>
  <c r="AH9" i="3"/>
  <c r="AG9" i="3"/>
  <c r="AF9" i="3"/>
  <c r="AE9" i="3"/>
  <c r="AI8" i="3"/>
  <c r="AI6" i="3" s="1"/>
  <c r="AI12" i="3" s="1"/>
  <c r="AH6" i="3"/>
  <c r="AH12" i="3" s="1"/>
  <c r="AG6" i="3"/>
  <c r="AF6" i="3"/>
  <c r="AF12" i="3" s="1"/>
  <c r="AE6" i="3"/>
  <c r="P40" i="7"/>
  <c r="P41" i="7" s="1"/>
  <c r="P38" i="7"/>
  <c r="P31" i="7"/>
  <c r="P22" i="7"/>
  <c r="P9" i="7"/>
  <c r="P17" i="7" s="1"/>
  <c r="AE39" i="5"/>
  <c r="AI26" i="5"/>
  <c r="AI39" i="5" s="1"/>
  <c r="AH26" i="5"/>
  <c r="AH39" i="5" s="1"/>
  <c r="AG26" i="5"/>
  <c r="AG39" i="5" s="1"/>
  <c r="AF26" i="5"/>
  <c r="AF39" i="5" s="1"/>
  <c r="AE26" i="5"/>
  <c r="AI17" i="5"/>
  <c r="AH17" i="5"/>
  <c r="AG17" i="5"/>
  <c r="AF17" i="5"/>
  <c r="AE17" i="5"/>
  <c r="AI16" i="5"/>
  <c r="AH16" i="5"/>
  <c r="AG16" i="5"/>
  <c r="AF16" i="5"/>
  <c r="AE16" i="5"/>
  <c r="AI15" i="5"/>
  <c r="AH15" i="5"/>
  <c r="AG15" i="5"/>
  <c r="AF15" i="5"/>
  <c r="AE15" i="5"/>
  <c r="AI14" i="5"/>
  <c r="AH14" i="5"/>
  <c r="AG14" i="5"/>
  <c r="AF14" i="5"/>
  <c r="AE14" i="5"/>
  <c r="AI13" i="5"/>
  <c r="AH13" i="5"/>
  <c r="AG13" i="5"/>
  <c r="AF13" i="5"/>
  <c r="AE13" i="5"/>
  <c r="AI12" i="5"/>
  <c r="AH12" i="5"/>
  <c r="AG12" i="5"/>
  <c r="AF12" i="5"/>
  <c r="AE12" i="5"/>
  <c r="AI11" i="5"/>
  <c r="AH11" i="5"/>
  <c r="AG11" i="5"/>
  <c r="AF11" i="5"/>
  <c r="AE11" i="5"/>
  <c r="AI10" i="5"/>
  <c r="AH10" i="5"/>
  <c r="AG10" i="5"/>
  <c r="AF10" i="5"/>
  <c r="AE10" i="5"/>
  <c r="AI9" i="5"/>
  <c r="AH9" i="5"/>
  <c r="AG9" i="5"/>
  <c r="AF9" i="5"/>
  <c r="AE9" i="5"/>
  <c r="AI8" i="5"/>
  <c r="AH8" i="5"/>
  <c r="AG8" i="5"/>
  <c r="AG5" i="5" s="1"/>
  <c r="AG18" i="5" s="1"/>
  <c r="AF8" i="5"/>
  <c r="AF5" i="5" s="1"/>
  <c r="AF18" i="5" s="1"/>
  <c r="AE8" i="5"/>
  <c r="AI7" i="5"/>
  <c r="AH7" i="5"/>
  <c r="AG7" i="5"/>
  <c r="AF7" i="5"/>
  <c r="AE7" i="5"/>
  <c r="AI6" i="5"/>
  <c r="AI5" i="5" s="1"/>
  <c r="AI18" i="5" s="1"/>
  <c r="AH6" i="5"/>
  <c r="AH5" i="5" s="1"/>
  <c r="AH18" i="5" s="1"/>
  <c r="AG6" i="5"/>
  <c r="AF6" i="5"/>
  <c r="AE6" i="5"/>
  <c r="AE5" i="5"/>
  <c r="AE18" i="5" s="1"/>
  <c r="AI4" i="5"/>
  <c r="AH4" i="5"/>
  <c r="AG4" i="5"/>
  <c r="AF4" i="5"/>
  <c r="AE4" i="5"/>
  <c r="AI80" i="4"/>
  <c r="AH80" i="4"/>
  <c r="AG80" i="4"/>
  <c r="AF80" i="4"/>
  <c r="AE80" i="4"/>
  <c r="AI79" i="4"/>
  <c r="AH79" i="4"/>
  <c r="AG79" i="4"/>
  <c r="AF79" i="4"/>
  <c r="AE79" i="4"/>
  <c r="AI78" i="4"/>
  <c r="AH78" i="4"/>
  <c r="AG78" i="4"/>
  <c r="AF78" i="4"/>
  <c r="AE78" i="4"/>
  <c r="AI77" i="4"/>
  <c r="AH77" i="4"/>
  <c r="AG77" i="4"/>
  <c r="AF77" i="4"/>
  <c r="AE77" i="4"/>
  <c r="AI76" i="4"/>
  <c r="AH76" i="4"/>
  <c r="AG76" i="4"/>
  <c r="AF76" i="4"/>
  <c r="AE76" i="4"/>
  <c r="AI75" i="4"/>
  <c r="AH75" i="4"/>
  <c r="AG75" i="4"/>
  <c r="AF75" i="4"/>
  <c r="AE75" i="4"/>
  <c r="AI74" i="4"/>
  <c r="AH74" i="4"/>
  <c r="AG74" i="4"/>
  <c r="AF74" i="4"/>
  <c r="AE74" i="4"/>
  <c r="AI73" i="4"/>
  <c r="AI81" i="4" s="1"/>
  <c r="AH73" i="4"/>
  <c r="AH81" i="4" s="1"/>
  <c r="AG73" i="4"/>
  <c r="AF73" i="4"/>
  <c r="AF81" i="4" s="1"/>
  <c r="AE73" i="4"/>
  <c r="AI72" i="4"/>
  <c r="AH72" i="4"/>
  <c r="AG72" i="4"/>
  <c r="AF72" i="4"/>
  <c r="AE72" i="4"/>
  <c r="AE81" i="4" s="1"/>
  <c r="AI71" i="4"/>
  <c r="AH71" i="4"/>
  <c r="AG71" i="4"/>
  <c r="AG81" i="4" s="1"/>
  <c r="AF71" i="4"/>
  <c r="AE71" i="4"/>
  <c r="AI68" i="4"/>
  <c r="AH68" i="4"/>
  <c r="AG68" i="4"/>
  <c r="AF68" i="4"/>
  <c r="AE68" i="4"/>
  <c r="AI55" i="4"/>
  <c r="AH55" i="4"/>
  <c r="AG55" i="4"/>
  <c r="AF55" i="4"/>
  <c r="AE55" i="4"/>
  <c r="AH39" i="4"/>
  <c r="AF39" i="4"/>
  <c r="AE38" i="4"/>
  <c r="AH37" i="4"/>
  <c r="AG36" i="4"/>
  <c r="AE36" i="4"/>
  <c r="AI34" i="4"/>
  <c r="AG34" i="4"/>
  <c r="AF33" i="4"/>
  <c r="AI32" i="4"/>
  <c r="AH31" i="4"/>
  <c r="AF31" i="4"/>
  <c r="AE30" i="4"/>
  <c r="AI26" i="4"/>
  <c r="AH26" i="4"/>
  <c r="AG26" i="4"/>
  <c r="AG39" i="4" s="1"/>
  <c r="AF26" i="4"/>
  <c r="AE26" i="4"/>
  <c r="AI25" i="4"/>
  <c r="AH25" i="4"/>
  <c r="AH38" i="4" s="1"/>
  <c r="AG25" i="4"/>
  <c r="AF25" i="4"/>
  <c r="AE25" i="4"/>
  <c r="AI24" i="4"/>
  <c r="AI37" i="4" s="1"/>
  <c r="AH24" i="4"/>
  <c r="AG24" i="4"/>
  <c r="AF24" i="4"/>
  <c r="AE24" i="4"/>
  <c r="AE37" i="4" s="1"/>
  <c r="AI23" i="4"/>
  <c r="AH23" i="4"/>
  <c r="AG23" i="4"/>
  <c r="AF23" i="4"/>
  <c r="AF36" i="4" s="1"/>
  <c r="AE23" i="4"/>
  <c r="AI22" i="4"/>
  <c r="AH22" i="4"/>
  <c r="AG22" i="4"/>
  <c r="AG35" i="4" s="1"/>
  <c r="AF22" i="4"/>
  <c r="AE22" i="4"/>
  <c r="AI21" i="4"/>
  <c r="AH21" i="4"/>
  <c r="AH34" i="4" s="1"/>
  <c r="AG21" i="4"/>
  <c r="AF21" i="4"/>
  <c r="AE21" i="4"/>
  <c r="AI20" i="4"/>
  <c r="AI33" i="4" s="1"/>
  <c r="AH20" i="4"/>
  <c r="AG20" i="4"/>
  <c r="AF20" i="4"/>
  <c r="AE20" i="4"/>
  <c r="AE33" i="4" s="1"/>
  <c r="AI19" i="4"/>
  <c r="AI27" i="4" s="1"/>
  <c r="AH19" i="4"/>
  <c r="AH27" i="4" s="1"/>
  <c r="AG19" i="4"/>
  <c r="AF19" i="4"/>
  <c r="AF27" i="4" s="1"/>
  <c r="AE19" i="4"/>
  <c r="AI18" i="4"/>
  <c r="AH18" i="4"/>
  <c r="AG18" i="4"/>
  <c r="AG31" i="4" s="1"/>
  <c r="AF18" i="4"/>
  <c r="AE18" i="4"/>
  <c r="AE27" i="4" s="1"/>
  <c r="AI17" i="4"/>
  <c r="AH17" i="4"/>
  <c r="AH30" i="4" s="1"/>
  <c r="AG17" i="4"/>
  <c r="AG27" i="4" s="1"/>
  <c r="AF17" i="4"/>
  <c r="AE17" i="4"/>
  <c r="AI13" i="4"/>
  <c r="AI39" i="4" s="1"/>
  <c r="AH13" i="4"/>
  <c r="AG13" i="4"/>
  <c r="AF13" i="4"/>
  <c r="AE13" i="4"/>
  <c r="AE39" i="4" s="1"/>
  <c r="AI12" i="4"/>
  <c r="AI38" i="4" s="1"/>
  <c r="AH12" i="4"/>
  <c r="AG12" i="4"/>
  <c r="AG38" i="4" s="1"/>
  <c r="AF12" i="4"/>
  <c r="AF38" i="4" s="1"/>
  <c r="AE12" i="4"/>
  <c r="AI11" i="4"/>
  <c r="AH11" i="4"/>
  <c r="AG11" i="4"/>
  <c r="AG37" i="4" s="1"/>
  <c r="AF11" i="4"/>
  <c r="AF37" i="4" s="1"/>
  <c r="AE11" i="4"/>
  <c r="AI10" i="4"/>
  <c r="AI36" i="4" s="1"/>
  <c r="AH10" i="4"/>
  <c r="AH36" i="4" s="1"/>
  <c r="AG10" i="4"/>
  <c r="AF10" i="4"/>
  <c r="AE10" i="4"/>
  <c r="AI9" i="4"/>
  <c r="AI35" i="4" s="1"/>
  <c r="AH9" i="4"/>
  <c r="AH35" i="4" s="1"/>
  <c r="AG9" i="4"/>
  <c r="AF9" i="4"/>
  <c r="AF35" i="4" s="1"/>
  <c r="AE9" i="4"/>
  <c r="AE35" i="4" s="1"/>
  <c r="AI8" i="4"/>
  <c r="AH8" i="4"/>
  <c r="AG8" i="4"/>
  <c r="AF8" i="4"/>
  <c r="AF34" i="4" s="1"/>
  <c r="AE8" i="4"/>
  <c r="AE34" i="4" s="1"/>
  <c r="AI7" i="4"/>
  <c r="AH7" i="4"/>
  <c r="AH33" i="4" s="1"/>
  <c r="AG7" i="4"/>
  <c r="AG33" i="4" s="1"/>
  <c r="AF7" i="4"/>
  <c r="AE7" i="4"/>
  <c r="AI6" i="4"/>
  <c r="AH6" i="4"/>
  <c r="AH14" i="4" s="1"/>
  <c r="AG6" i="4"/>
  <c r="AG32" i="4" s="1"/>
  <c r="AF6" i="4"/>
  <c r="AE6" i="4"/>
  <c r="AE14" i="4" s="1"/>
  <c r="AI5" i="4"/>
  <c r="AI31" i="4" s="1"/>
  <c r="AH5" i="4"/>
  <c r="AG5" i="4"/>
  <c r="AF5" i="4"/>
  <c r="AE5" i="4"/>
  <c r="AE31" i="4" s="1"/>
  <c r="AI4" i="4"/>
  <c r="AI30" i="4" s="1"/>
  <c r="AI40" i="4" s="1"/>
  <c r="AH4" i="4"/>
  <c r="AG4" i="4"/>
  <c r="AG30" i="4" s="1"/>
  <c r="AF4" i="4"/>
  <c r="AF14" i="4" s="1"/>
  <c r="AE4" i="4"/>
  <c r="R5" i="6"/>
  <c r="R7" i="6"/>
  <c r="R8" i="6"/>
  <c r="R9" i="6"/>
  <c r="R10" i="6"/>
  <c r="R11" i="6"/>
  <c r="R13" i="6"/>
  <c r="R14" i="6"/>
  <c r="R15" i="6"/>
  <c r="R16" i="6"/>
  <c r="R17" i="6"/>
  <c r="R19" i="6"/>
  <c r="R21" i="6" s="1"/>
  <c r="R20" i="6"/>
  <c r="R22" i="6"/>
  <c r="R23" i="6"/>
  <c r="R24" i="6"/>
  <c r="R25" i="6"/>
  <c r="R26" i="6"/>
  <c r="R27" i="6"/>
  <c r="R29" i="6"/>
  <c r="R30" i="6"/>
  <c r="R32" i="6"/>
  <c r="R36" i="6"/>
  <c r="R42" i="6"/>
  <c r="R4" i="6" s="1"/>
  <c r="R6" i="6" s="1"/>
  <c r="R47" i="6"/>
  <c r="R50" i="6"/>
  <c r="R12" i="6" s="1"/>
  <c r="R51" i="6"/>
  <c r="R59" i="6"/>
  <c r="AH21" i="3" l="1"/>
  <c r="AE30" i="3"/>
  <c r="AE37" i="3" s="1"/>
  <c r="AG30" i="3"/>
  <c r="AH30" i="3"/>
  <c r="AH37" i="3" s="1"/>
  <c r="AF30" i="3"/>
  <c r="AF37" i="3"/>
  <c r="AI21" i="3"/>
  <c r="AG37" i="3"/>
  <c r="AH26" i="3"/>
  <c r="AH24" i="3" s="1"/>
  <c r="AI29" i="3"/>
  <c r="AI27" i="3" s="1"/>
  <c r="AI30" i="3" s="1"/>
  <c r="AI37" i="3" s="1"/>
  <c r="AI26" i="3"/>
  <c r="AI24" i="3" s="1"/>
  <c r="AG40" i="4"/>
  <c r="AF30" i="4"/>
  <c r="AI14" i="4"/>
  <c r="AE32" i="4"/>
  <c r="AE40" i="4" s="1"/>
  <c r="AG14" i="4"/>
  <c r="AF32" i="4"/>
  <c r="AH32" i="4"/>
  <c r="AH40" i="4" s="1"/>
  <c r="R18" i="6"/>
  <c r="R28" i="6" s="1"/>
  <c r="R31" i="6" s="1"/>
  <c r="R33" i="6" s="1"/>
  <c r="R44" i="6"/>
  <c r="R56" i="6" s="1"/>
  <c r="R66" i="6" s="1"/>
  <c r="R69" i="6" s="1"/>
  <c r="R71" i="6" s="1"/>
  <c r="R73" i="6" s="1"/>
  <c r="AF40" i="4" l="1"/>
  <c r="R76" i="6"/>
  <c r="R35" i="6"/>
  <c r="O38" i="7" l="1"/>
  <c r="O40" i="7" s="1"/>
  <c r="N38" i="7"/>
  <c r="N40" i="7" s="1"/>
  <c r="M38" i="7"/>
  <c r="M40" i="7" s="1"/>
  <c r="M41" i="7" s="1"/>
  <c r="L38" i="7"/>
  <c r="L40" i="7" s="1"/>
  <c r="K38" i="7"/>
  <c r="K31" i="7"/>
  <c r="K41" i="7" s="1"/>
  <c r="O22" i="7"/>
  <c r="O31" i="7" s="1"/>
  <c r="N22" i="7"/>
  <c r="N31" i="7" s="1"/>
  <c r="M22" i="7"/>
  <c r="M31" i="7" s="1"/>
  <c r="L22" i="7"/>
  <c r="L31" i="7" s="1"/>
  <c r="K22" i="7"/>
  <c r="L17" i="7"/>
  <c r="K17" i="7"/>
  <c r="O9" i="7"/>
  <c r="O17" i="7" s="1"/>
  <c r="N9" i="7"/>
  <c r="N17" i="7" s="1"/>
  <c r="M9" i="7"/>
  <c r="M17" i="7" s="1"/>
  <c r="L9" i="7"/>
  <c r="K9" i="7"/>
  <c r="L41" i="7" l="1"/>
  <c r="N41" i="7"/>
  <c r="O41" i="7"/>
  <c r="O51" i="12" l="1"/>
  <c r="N51" i="12"/>
  <c r="M51" i="12"/>
  <c r="L51" i="12"/>
  <c r="K51" i="12"/>
  <c r="O44" i="12"/>
  <c r="N44" i="12"/>
  <c r="M44" i="12"/>
  <c r="L44" i="12"/>
  <c r="K44" i="12"/>
  <c r="O37" i="12"/>
  <c r="N37" i="12"/>
  <c r="M37" i="12"/>
  <c r="L37" i="12"/>
  <c r="K37" i="12"/>
  <c r="O30" i="12"/>
  <c r="N30" i="12"/>
  <c r="M30" i="12"/>
  <c r="L30" i="12"/>
  <c r="K30" i="12"/>
  <c r="M24" i="12"/>
  <c r="L24" i="12"/>
  <c r="O17" i="12"/>
  <c r="N17" i="12"/>
  <c r="M17" i="12"/>
  <c r="M20" i="12" s="1"/>
  <c r="L17" i="12"/>
  <c r="K17" i="12"/>
  <c r="O14" i="12"/>
  <c r="N14" i="12"/>
  <c r="N20" i="12" s="1"/>
  <c r="M14" i="12"/>
  <c r="L14" i="12"/>
  <c r="L20" i="12" s="1"/>
  <c r="K14" i="12"/>
  <c r="O10" i="12"/>
  <c r="O7" i="12"/>
  <c r="N7" i="12"/>
  <c r="M7" i="12"/>
  <c r="L7" i="12"/>
  <c r="K7" i="12"/>
  <c r="K10" i="12" s="1"/>
  <c r="O4" i="12"/>
  <c r="N4" i="12"/>
  <c r="M4" i="12"/>
  <c r="L4" i="12"/>
  <c r="L10" i="12" s="1"/>
  <c r="K4" i="12"/>
  <c r="M10" i="12" l="1"/>
  <c r="N10" i="12"/>
  <c r="K20" i="12"/>
  <c r="O20" i="12"/>
  <c r="AH53" i="3" l="1"/>
  <c r="AG53" i="3"/>
  <c r="AD48" i="3"/>
  <c r="AC48" i="3"/>
  <c r="AB48" i="3"/>
  <c r="AA48" i="3"/>
  <c r="AD35" i="3"/>
  <c r="AC35" i="3"/>
  <c r="AB35" i="3"/>
  <c r="AA35" i="3"/>
  <c r="AD29" i="3"/>
  <c r="AC29" i="3"/>
  <c r="AB29" i="3"/>
  <c r="AA29" i="3"/>
  <c r="AD28" i="3"/>
  <c r="AC28" i="3"/>
  <c r="AC27" i="3" s="1"/>
  <c r="AB28" i="3"/>
  <c r="AA28" i="3"/>
  <c r="AA27" i="3" s="1"/>
  <c r="AD27" i="3"/>
  <c r="AB27" i="3"/>
  <c r="AD26" i="3"/>
  <c r="AC26" i="3"/>
  <c r="AB26" i="3"/>
  <c r="AA26" i="3"/>
  <c r="AD25" i="3"/>
  <c r="AD24" i="3" s="1"/>
  <c r="AC25" i="3"/>
  <c r="AB25" i="3"/>
  <c r="AA25" i="3"/>
  <c r="AA24" i="3" s="1"/>
  <c r="AC24" i="3"/>
  <c r="AB24" i="3"/>
  <c r="AD18" i="3"/>
  <c r="AC18" i="3"/>
  <c r="AB18" i="3"/>
  <c r="AA18" i="3"/>
  <c r="AD15" i="3"/>
  <c r="AD21" i="3" s="1"/>
  <c r="AC15" i="3"/>
  <c r="AC21" i="3" s="1"/>
  <c r="AB15" i="3"/>
  <c r="AB21" i="3" s="1"/>
  <c r="AA15" i="3"/>
  <c r="AA21" i="3" s="1"/>
  <c r="AD9" i="3"/>
  <c r="AC9" i="3"/>
  <c r="AB9" i="3"/>
  <c r="AA9" i="3"/>
  <c r="AD6" i="3"/>
  <c r="AD12" i="3" s="1"/>
  <c r="AC6" i="3"/>
  <c r="AC12" i="3" s="1"/>
  <c r="AB6" i="3"/>
  <c r="AB12" i="3" s="1"/>
  <c r="AA6" i="3"/>
  <c r="AA12" i="3" s="1"/>
  <c r="I40" i="7"/>
  <c r="H40" i="7"/>
  <c r="H41" i="7" s="1"/>
  <c r="F40" i="7"/>
  <c r="E40" i="7"/>
  <c r="E41" i="7" s="1"/>
  <c r="C40" i="7"/>
  <c r="C41" i="7" s="1"/>
  <c r="J38" i="7"/>
  <c r="J40" i="7" s="1"/>
  <c r="J41" i="7" s="1"/>
  <c r="I38" i="7"/>
  <c r="H38" i="7"/>
  <c r="G38" i="7"/>
  <c r="G40" i="7" s="1"/>
  <c r="G41" i="7" s="1"/>
  <c r="F38" i="7"/>
  <c r="E38" i="7"/>
  <c r="D38" i="7"/>
  <c r="D40" i="7" s="1"/>
  <c r="C38" i="7"/>
  <c r="J31" i="7"/>
  <c r="H31" i="7"/>
  <c r="G31" i="7"/>
  <c r="E31" i="7"/>
  <c r="C31" i="7"/>
  <c r="J22" i="7"/>
  <c r="I22" i="7"/>
  <c r="I31" i="7" s="1"/>
  <c r="H22" i="7"/>
  <c r="G22" i="7"/>
  <c r="F22" i="7"/>
  <c r="F31" i="7" s="1"/>
  <c r="E22" i="7"/>
  <c r="D22" i="7"/>
  <c r="D31" i="7" s="1"/>
  <c r="C22" i="7"/>
  <c r="I17" i="7"/>
  <c r="G17" i="7"/>
  <c r="E17" i="7"/>
  <c r="D17" i="7"/>
  <c r="J9" i="7"/>
  <c r="J17" i="7" s="1"/>
  <c r="I9" i="7"/>
  <c r="H9" i="7"/>
  <c r="H17" i="7" s="1"/>
  <c r="G9" i="7"/>
  <c r="F9" i="7"/>
  <c r="F17" i="7" s="1"/>
  <c r="E9" i="7"/>
  <c r="D9" i="7"/>
  <c r="C9" i="7"/>
  <c r="C17" i="7" s="1"/>
  <c r="AD26" i="5"/>
  <c r="AD39" i="5" s="1"/>
  <c r="AC26" i="5"/>
  <c r="AC39" i="5" s="1"/>
  <c r="AB26" i="5"/>
  <c r="AB39" i="5" s="1"/>
  <c r="AA26" i="5"/>
  <c r="AA39" i="5" s="1"/>
  <c r="AD17" i="5"/>
  <c r="AC17" i="5"/>
  <c r="AB17" i="5"/>
  <c r="AA17" i="5"/>
  <c r="AD16" i="5"/>
  <c r="AC16" i="5"/>
  <c r="AC5" i="5" s="1"/>
  <c r="AC18" i="5" s="1"/>
  <c r="AB16" i="5"/>
  <c r="AA16" i="5"/>
  <c r="AD15" i="5"/>
  <c r="AC15" i="5"/>
  <c r="AB15" i="5"/>
  <c r="AA15" i="5"/>
  <c r="AD14" i="5"/>
  <c r="AC14" i="5"/>
  <c r="AB14" i="5"/>
  <c r="AA14" i="5"/>
  <c r="AD13" i="5"/>
  <c r="AC13" i="5"/>
  <c r="AB13" i="5"/>
  <c r="AA13" i="5"/>
  <c r="AD12" i="5"/>
  <c r="AC12" i="5"/>
  <c r="AB12" i="5"/>
  <c r="AA12" i="5"/>
  <c r="AD11" i="5"/>
  <c r="AC11" i="5"/>
  <c r="AB11" i="5"/>
  <c r="AA11" i="5"/>
  <c r="AD10" i="5"/>
  <c r="AC10" i="5"/>
  <c r="AB10" i="5"/>
  <c r="AA10" i="5"/>
  <c r="AD9" i="5"/>
  <c r="AC9" i="5"/>
  <c r="AB9" i="5"/>
  <c r="AA9" i="5"/>
  <c r="AD8" i="5"/>
  <c r="AC8" i="5"/>
  <c r="AB8" i="5"/>
  <c r="AA8" i="5"/>
  <c r="AD7" i="5"/>
  <c r="AC7" i="5"/>
  <c r="AB7" i="5"/>
  <c r="AA7" i="5"/>
  <c r="AD6" i="5"/>
  <c r="AD5" i="5" s="1"/>
  <c r="AD18" i="5" s="1"/>
  <c r="AC6" i="5"/>
  <c r="AB6" i="5"/>
  <c r="AA6" i="5"/>
  <c r="AB5" i="5"/>
  <c r="AB18" i="5" s="1"/>
  <c r="AA5" i="5"/>
  <c r="AA18" i="5" s="1"/>
  <c r="AD4" i="5"/>
  <c r="AC4" i="5"/>
  <c r="AB4" i="5"/>
  <c r="AA4" i="5"/>
  <c r="AD80" i="4"/>
  <c r="AC80" i="4"/>
  <c r="AB80" i="4"/>
  <c r="AA80" i="4"/>
  <c r="AD79" i="4"/>
  <c r="AC79" i="4"/>
  <c r="AB79" i="4"/>
  <c r="AA79" i="4"/>
  <c r="AD78" i="4"/>
  <c r="AC78" i="4"/>
  <c r="AB78" i="4"/>
  <c r="AA78" i="4"/>
  <c r="AD77" i="4"/>
  <c r="AC77" i="4"/>
  <c r="AB77" i="4"/>
  <c r="AA77" i="4"/>
  <c r="AD76" i="4"/>
  <c r="AC76" i="4"/>
  <c r="AB76" i="4"/>
  <c r="AA76" i="4"/>
  <c r="AD75" i="4"/>
  <c r="AC75" i="4"/>
  <c r="AB75" i="4"/>
  <c r="AA75" i="4"/>
  <c r="AD74" i="4"/>
  <c r="AC74" i="4"/>
  <c r="AB74" i="4"/>
  <c r="AA74" i="4"/>
  <c r="AD73" i="4"/>
  <c r="AC73" i="4"/>
  <c r="AB73" i="4"/>
  <c r="AA73" i="4"/>
  <c r="AD72" i="4"/>
  <c r="AC72" i="4"/>
  <c r="AB72" i="4"/>
  <c r="AA72" i="4"/>
  <c r="AD71" i="4"/>
  <c r="AD81" i="4" s="1"/>
  <c r="AC71" i="4"/>
  <c r="AC81" i="4" s="1"/>
  <c r="AB71" i="4"/>
  <c r="AB81" i="4" s="1"/>
  <c r="AA71" i="4"/>
  <c r="AA81" i="4" s="1"/>
  <c r="AD68" i="4"/>
  <c r="AC68" i="4"/>
  <c r="AB68" i="4"/>
  <c r="AA68" i="4"/>
  <c r="AD55" i="4"/>
  <c r="AC55" i="4"/>
  <c r="AB55" i="4"/>
  <c r="AA55" i="4"/>
  <c r="AD26" i="4"/>
  <c r="AC26" i="4"/>
  <c r="AB26" i="4"/>
  <c r="AA26" i="4"/>
  <c r="AD25" i="4"/>
  <c r="AC25" i="4"/>
  <c r="AB25" i="4"/>
  <c r="AA25" i="4"/>
  <c r="AD24" i="4"/>
  <c r="AC24" i="4"/>
  <c r="AB24" i="4"/>
  <c r="AA24" i="4"/>
  <c r="AD23" i="4"/>
  <c r="AC23" i="4"/>
  <c r="AB23" i="4"/>
  <c r="AA23" i="4"/>
  <c r="AD22" i="4"/>
  <c r="AC22" i="4"/>
  <c r="AB22" i="4"/>
  <c r="AA22" i="4"/>
  <c r="AD21" i="4"/>
  <c r="AC21" i="4"/>
  <c r="AB21" i="4"/>
  <c r="AA21" i="4"/>
  <c r="AD20" i="4"/>
  <c r="AC20" i="4"/>
  <c r="AB20" i="4"/>
  <c r="AA20" i="4"/>
  <c r="AD19" i="4"/>
  <c r="AC19" i="4"/>
  <c r="AB19" i="4"/>
  <c r="AA19" i="4"/>
  <c r="AD18" i="4"/>
  <c r="AC18" i="4"/>
  <c r="AB18" i="4"/>
  <c r="AA18" i="4"/>
  <c r="AD17" i="4"/>
  <c r="AD27" i="4" s="1"/>
  <c r="AC17" i="4"/>
  <c r="AC27" i="4" s="1"/>
  <c r="AB17" i="4"/>
  <c r="AB27" i="4" s="1"/>
  <c r="AA17" i="4"/>
  <c r="AA27" i="4" s="1"/>
  <c r="AD13" i="4"/>
  <c r="AD39" i="4" s="1"/>
  <c r="AC13" i="4"/>
  <c r="AC39" i="4" s="1"/>
  <c r="AB13" i="4"/>
  <c r="AB39" i="4" s="1"/>
  <c r="AA13" i="4"/>
  <c r="AA39" i="4" s="1"/>
  <c r="AD12" i="4"/>
  <c r="AD38" i="4" s="1"/>
  <c r="AC12" i="4"/>
  <c r="AC38" i="4" s="1"/>
  <c r="AB12" i="4"/>
  <c r="AB38" i="4" s="1"/>
  <c r="AA12" i="4"/>
  <c r="AA38" i="4" s="1"/>
  <c r="AD11" i="4"/>
  <c r="AD37" i="4" s="1"/>
  <c r="AC11" i="4"/>
  <c r="AC37" i="4" s="1"/>
  <c r="AB11" i="4"/>
  <c r="AB37" i="4" s="1"/>
  <c r="AA11" i="4"/>
  <c r="AA37" i="4" s="1"/>
  <c r="AD10" i="4"/>
  <c r="AD36" i="4" s="1"/>
  <c r="AC10" i="4"/>
  <c r="AC36" i="4" s="1"/>
  <c r="AB10" i="4"/>
  <c r="AB36" i="4" s="1"/>
  <c r="AA10" i="4"/>
  <c r="AA36" i="4" s="1"/>
  <c r="AD9" i="4"/>
  <c r="AD35" i="4" s="1"/>
  <c r="AC9" i="4"/>
  <c r="AC35" i="4" s="1"/>
  <c r="AB9" i="4"/>
  <c r="AB35" i="4" s="1"/>
  <c r="AA9" i="4"/>
  <c r="AA35" i="4" s="1"/>
  <c r="AD8" i="4"/>
  <c r="AD34" i="4" s="1"/>
  <c r="AC8" i="4"/>
  <c r="AC34" i="4" s="1"/>
  <c r="AB8" i="4"/>
  <c r="AB34" i="4" s="1"/>
  <c r="AA8" i="4"/>
  <c r="AA34" i="4" s="1"/>
  <c r="AD7" i="4"/>
  <c r="AD33" i="4" s="1"/>
  <c r="AC7" i="4"/>
  <c r="AC33" i="4" s="1"/>
  <c r="AB7" i="4"/>
  <c r="AB33" i="4" s="1"/>
  <c r="AA7" i="4"/>
  <c r="AA33" i="4" s="1"/>
  <c r="AD6" i="4"/>
  <c r="AD32" i="4" s="1"/>
  <c r="AC6" i="4"/>
  <c r="AC32" i="4" s="1"/>
  <c r="AB6" i="4"/>
  <c r="AB32" i="4" s="1"/>
  <c r="AA6" i="4"/>
  <c r="AA32" i="4" s="1"/>
  <c r="AD5" i="4"/>
  <c r="AD31" i="4" s="1"/>
  <c r="AC5" i="4"/>
  <c r="AC31" i="4" s="1"/>
  <c r="AB5" i="4"/>
  <c r="AB31" i="4" s="1"/>
  <c r="AA5" i="4"/>
  <c r="AA31" i="4" s="1"/>
  <c r="AD4" i="4"/>
  <c r="AD30" i="4" s="1"/>
  <c r="AD40" i="4" s="1"/>
  <c r="AC4" i="4"/>
  <c r="AC30" i="4" s="1"/>
  <c r="AB4" i="4"/>
  <c r="AB30" i="4" s="1"/>
  <c r="AB40" i="4" s="1"/>
  <c r="AA4" i="4"/>
  <c r="AA14" i="4" s="1"/>
  <c r="S53" i="8"/>
  <c r="S62" i="8" s="1"/>
  <c r="R53" i="8"/>
  <c r="R62" i="8" s="1"/>
  <c r="Q53" i="8"/>
  <c r="Q62" i="8" s="1"/>
  <c r="P53" i="8"/>
  <c r="P62" i="8" s="1"/>
  <c r="S46" i="8"/>
  <c r="S50" i="8" s="1"/>
  <c r="R46" i="8"/>
  <c r="R50" i="8" s="1"/>
  <c r="Q46" i="8"/>
  <c r="Q50" i="8" s="1"/>
  <c r="P46" i="8"/>
  <c r="P50" i="8" s="1"/>
  <c r="S39" i="8"/>
  <c r="R39" i="8"/>
  <c r="Q39" i="8"/>
  <c r="P39" i="8"/>
  <c r="S37" i="8"/>
  <c r="R37" i="8"/>
  <c r="Q37" i="8"/>
  <c r="P37" i="8"/>
  <c r="S29" i="8"/>
  <c r="R29" i="8"/>
  <c r="Q29" i="8"/>
  <c r="Q30" i="8" s="1"/>
  <c r="P29" i="8"/>
  <c r="P30" i="8" s="1"/>
  <c r="S28" i="8"/>
  <c r="R28" i="8"/>
  <c r="Q28" i="8"/>
  <c r="P28" i="8"/>
  <c r="S27" i="8"/>
  <c r="R27" i="8"/>
  <c r="Q27" i="8"/>
  <c r="P27" i="8"/>
  <c r="S26" i="8"/>
  <c r="R26" i="8"/>
  <c r="Q26" i="8"/>
  <c r="P26" i="8"/>
  <c r="S25" i="8"/>
  <c r="R25" i="8"/>
  <c r="Q25" i="8"/>
  <c r="P25" i="8"/>
  <c r="S24" i="8"/>
  <c r="R24" i="8"/>
  <c r="Q24" i="8"/>
  <c r="P24" i="8"/>
  <c r="S23" i="8"/>
  <c r="R23" i="8"/>
  <c r="Q23" i="8"/>
  <c r="P23" i="8"/>
  <c r="S22" i="8"/>
  <c r="S21" i="8" s="1"/>
  <c r="R22" i="8"/>
  <c r="R21" i="8" s="1"/>
  <c r="Q22" i="8"/>
  <c r="P22" i="8"/>
  <c r="Q21" i="8"/>
  <c r="P21" i="8"/>
  <c r="S17" i="8"/>
  <c r="R17" i="8"/>
  <c r="R14" i="8" s="1"/>
  <c r="R18" i="8" s="1"/>
  <c r="Q17" i="8"/>
  <c r="Q14" i="8" s="1"/>
  <c r="Q18" i="8" s="1"/>
  <c r="P17" i="8"/>
  <c r="P14" i="8" s="1"/>
  <c r="P18" i="8" s="1"/>
  <c r="S15" i="8"/>
  <c r="R15" i="8"/>
  <c r="Q15" i="8"/>
  <c r="P15" i="8"/>
  <c r="S14" i="8"/>
  <c r="S18" i="8" s="1"/>
  <c r="S13" i="8"/>
  <c r="R13" i="8"/>
  <c r="Q13" i="8"/>
  <c r="P13" i="8"/>
  <c r="S12" i="8"/>
  <c r="R12" i="8"/>
  <c r="Q12" i="8"/>
  <c r="P12" i="8"/>
  <c r="S11" i="8"/>
  <c r="R11" i="8"/>
  <c r="Q11" i="8"/>
  <c r="P11" i="8"/>
  <c r="S10" i="8"/>
  <c r="R10" i="8"/>
  <c r="Q10" i="8"/>
  <c r="P10" i="8"/>
  <c r="S9" i="8"/>
  <c r="R9" i="8"/>
  <c r="Q9" i="8"/>
  <c r="P9" i="8"/>
  <c r="S8" i="8"/>
  <c r="R8" i="8"/>
  <c r="Q8" i="8"/>
  <c r="P8" i="8"/>
  <c r="S7" i="8"/>
  <c r="R7" i="8"/>
  <c r="Q7" i="8"/>
  <c r="P7" i="8"/>
  <c r="S6" i="8"/>
  <c r="R6" i="8"/>
  <c r="Q6" i="8"/>
  <c r="P6" i="8"/>
  <c r="S5" i="8"/>
  <c r="R5" i="8"/>
  <c r="Q5" i="8"/>
  <c r="P5" i="8"/>
  <c r="Q59" i="6"/>
  <c r="P59" i="6"/>
  <c r="O59" i="6"/>
  <c r="Q51" i="6"/>
  <c r="P51" i="6"/>
  <c r="P13" i="6" s="1"/>
  <c r="O51" i="6"/>
  <c r="O13" i="6" s="1"/>
  <c r="Q50" i="6"/>
  <c r="P50" i="6"/>
  <c r="O50" i="6"/>
  <c r="Q47" i="6"/>
  <c r="P47" i="6"/>
  <c r="O47" i="6"/>
  <c r="Q42" i="6"/>
  <c r="P42" i="6"/>
  <c r="P44" i="6" s="1"/>
  <c r="O42" i="6"/>
  <c r="O44" i="6" s="1"/>
  <c r="O56" i="6" s="1"/>
  <c r="Q36" i="6"/>
  <c r="P36" i="6"/>
  <c r="O36" i="6"/>
  <c r="Q32" i="6"/>
  <c r="P32" i="6"/>
  <c r="O32" i="6"/>
  <c r="Q30" i="6"/>
  <c r="P30" i="6"/>
  <c r="O30" i="6"/>
  <c r="Q29" i="6"/>
  <c r="P29" i="6"/>
  <c r="O29" i="6"/>
  <c r="Q27" i="6"/>
  <c r="P27" i="6"/>
  <c r="O27" i="6"/>
  <c r="Q26" i="6"/>
  <c r="P26" i="6"/>
  <c r="O26" i="6"/>
  <c r="Q25" i="6"/>
  <c r="P25" i="6"/>
  <c r="O25" i="6"/>
  <c r="Q24" i="6"/>
  <c r="P24" i="6"/>
  <c r="O24" i="6"/>
  <c r="Q23" i="6"/>
  <c r="P23" i="6"/>
  <c r="O23" i="6"/>
  <c r="Q22" i="6"/>
  <c r="P22" i="6"/>
  <c r="O22" i="6"/>
  <c r="Q20" i="6"/>
  <c r="P20" i="6"/>
  <c r="O20" i="6"/>
  <c r="Q19" i="6"/>
  <c r="Q21" i="6" s="1"/>
  <c r="P19" i="6"/>
  <c r="P21" i="6" s="1"/>
  <c r="O19" i="6"/>
  <c r="O21" i="6" s="1"/>
  <c r="Q17" i="6"/>
  <c r="P17" i="6"/>
  <c r="O17" i="6"/>
  <c r="Q16" i="6"/>
  <c r="P16" i="6"/>
  <c r="O16" i="6"/>
  <c r="Q15" i="6"/>
  <c r="P15" i="6"/>
  <c r="O15" i="6"/>
  <c r="Q14" i="6"/>
  <c r="P14" i="6"/>
  <c r="O14" i="6"/>
  <c r="Q13" i="6"/>
  <c r="Q12" i="6"/>
  <c r="P12" i="6"/>
  <c r="O12" i="6"/>
  <c r="Q11" i="6"/>
  <c r="P11" i="6"/>
  <c r="O11" i="6"/>
  <c r="Q10" i="6"/>
  <c r="P10" i="6"/>
  <c r="O10" i="6"/>
  <c r="Q8" i="6"/>
  <c r="P8" i="6"/>
  <c r="O8" i="6"/>
  <c r="Q7" i="6"/>
  <c r="Q9" i="6" s="1"/>
  <c r="P7" i="6"/>
  <c r="P9" i="6" s="1"/>
  <c r="P18" i="6" s="1"/>
  <c r="O7" i="6"/>
  <c r="O9" i="6" s="1"/>
  <c r="Q5" i="6"/>
  <c r="P5" i="6"/>
  <c r="O5" i="6"/>
  <c r="Q4" i="6"/>
  <c r="Q6" i="6" s="1"/>
  <c r="P4" i="6"/>
  <c r="P6" i="6" s="1"/>
  <c r="O4" i="6"/>
  <c r="O6" i="6" s="1"/>
  <c r="AA30" i="3" l="1"/>
  <c r="AA37" i="3" s="1"/>
  <c r="AB30" i="3"/>
  <c r="AB37" i="3" s="1"/>
  <c r="AC30" i="3"/>
  <c r="AC37" i="3" s="1"/>
  <c r="AD30" i="3"/>
  <c r="AD37" i="3" s="1"/>
  <c r="D41" i="7"/>
  <c r="F41" i="7"/>
  <c r="I41" i="7"/>
  <c r="AC40" i="4"/>
  <c r="AA30" i="4"/>
  <c r="AA40" i="4" s="1"/>
  <c r="AB14" i="4"/>
  <c r="AD14" i="4"/>
  <c r="AC14" i="4"/>
  <c r="R30" i="8"/>
  <c r="S30" i="8"/>
  <c r="O66" i="6"/>
  <c r="O69" i="6" s="1"/>
  <c r="O71" i="6" s="1"/>
  <c r="O73" i="6" s="1"/>
  <c r="O28" i="6"/>
  <c r="O31" i="6" s="1"/>
  <c r="O33" i="6" s="1"/>
  <c r="P28" i="6"/>
  <c r="P31" i="6" s="1"/>
  <c r="P33" i="6"/>
  <c r="O18" i="6"/>
  <c r="Q28" i="6"/>
  <c r="Q31" i="6" s="1"/>
  <c r="Q33" i="6"/>
  <c r="Q18" i="6"/>
  <c r="Q44" i="6"/>
  <c r="Q56" i="6" s="1"/>
  <c r="Q66" i="6" s="1"/>
  <c r="Q69" i="6" s="1"/>
  <c r="Q71" i="6" s="1"/>
  <c r="Q73" i="6" s="1"/>
  <c r="P56" i="6"/>
  <c r="P66" i="6" s="1"/>
  <c r="P69" i="6" s="1"/>
  <c r="P71" i="6" s="1"/>
  <c r="P73" i="6" s="1"/>
  <c r="Q35" i="6" l="1"/>
  <c r="Q76" i="6"/>
  <c r="O35" i="6"/>
  <c r="O76" i="6"/>
  <c r="P35" i="6"/>
  <c r="P76" i="6"/>
  <c r="AF53" i="3" l="1"/>
  <c r="I62" i="8"/>
  <c r="H62" i="8"/>
  <c r="O53" i="8"/>
  <c r="O62" i="8" s="1"/>
  <c r="N53" i="8"/>
  <c r="N62" i="8" s="1"/>
  <c r="M53" i="8"/>
  <c r="M62" i="8" s="1"/>
  <c r="L53" i="8"/>
  <c r="L62" i="8" s="1"/>
  <c r="K53" i="8"/>
  <c r="K62" i="8" s="1"/>
  <c r="J53" i="8"/>
  <c r="J62" i="8" s="1"/>
  <c r="I53" i="8"/>
  <c r="H53" i="8"/>
  <c r="G53" i="8"/>
  <c r="G62" i="8" s="1"/>
  <c r="F53" i="8"/>
  <c r="F62" i="8" s="1"/>
  <c r="E53" i="8"/>
  <c r="E62" i="8" s="1"/>
  <c r="D53" i="8"/>
  <c r="D62" i="8" s="1"/>
  <c r="C53" i="8"/>
  <c r="C62" i="8" s="1"/>
  <c r="O46" i="8"/>
  <c r="N46" i="8"/>
  <c r="M46" i="8"/>
  <c r="M50" i="8" s="1"/>
  <c r="L46" i="8"/>
  <c r="L50" i="8" s="1"/>
  <c r="K46" i="8"/>
  <c r="J46" i="8"/>
  <c r="I46" i="8"/>
  <c r="I50" i="8" s="1"/>
  <c r="H46" i="8"/>
  <c r="H50" i="8" s="1"/>
  <c r="G46" i="8"/>
  <c r="F46" i="8"/>
  <c r="E46" i="8"/>
  <c r="E50" i="8" s="1"/>
  <c r="D46" i="8"/>
  <c r="D50" i="8" s="1"/>
  <c r="C46" i="8"/>
  <c r="O39" i="8"/>
  <c r="O50" i="8" s="1"/>
  <c r="N39" i="8"/>
  <c r="M39" i="8"/>
  <c r="L39" i="8"/>
  <c r="K39" i="8"/>
  <c r="J39" i="8"/>
  <c r="I39" i="8"/>
  <c r="H39" i="8"/>
  <c r="G39" i="8"/>
  <c r="G50" i="8" s="1"/>
  <c r="F39" i="8"/>
  <c r="E39" i="8"/>
  <c r="D39" i="8"/>
  <c r="C39" i="8"/>
  <c r="O37" i="8"/>
  <c r="N37" i="8"/>
  <c r="M37" i="8"/>
  <c r="L37" i="8"/>
  <c r="K37" i="8"/>
  <c r="J37" i="8"/>
  <c r="J50" i="8" s="1"/>
  <c r="I37" i="8"/>
  <c r="H37" i="8"/>
  <c r="G37" i="8"/>
  <c r="F37" i="8"/>
  <c r="E37" i="8"/>
  <c r="D37" i="8"/>
  <c r="C37" i="8"/>
  <c r="O29" i="8"/>
  <c r="N29" i="8"/>
  <c r="L29" i="8"/>
  <c r="M29" i="8" s="1"/>
  <c r="K29" i="8"/>
  <c r="J29" i="8"/>
  <c r="O28" i="8"/>
  <c r="N28" i="8"/>
  <c r="L28" i="8"/>
  <c r="M28" i="8" s="1"/>
  <c r="K28" i="8"/>
  <c r="J28" i="8"/>
  <c r="O27" i="8"/>
  <c r="N27" i="8"/>
  <c r="L27" i="8"/>
  <c r="M27" i="8" s="1"/>
  <c r="O26" i="8"/>
  <c r="N26" i="8"/>
  <c r="L26" i="8"/>
  <c r="M26" i="8" s="1"/>
  <c r="K26" i="8"/>
  <c r="J26" i="8"/>
  <c r="O25" i="8"/>
  <c r="N25" i="8"/>
  <c r="L25" i="8"/>
  <c r="M25" i="8" s="1"/>
  <c r="K25" i="8"/>
  <c r="J25" i="8"/>
  <c r="O24" i="8"/>
  <c r="N24" i="8"/>
  <c r="M24" i="8"/>
  <c r="L24" i="8"/>
  <c r="K24" i="8"/>
  <c r="J24" i="8"/>
  <c r="O23" i="8"/>
  <c r="N23" i="8"/>
  <c r="L23" i="8"/>
  <c r="M23" i="8" s="1"/>
  <c r="K23" i="8"/>
  <c r="J23" i="8"/>
  <c r="O22" i="8"/>
  <c r="N22" i="8"/>
  <c r="M22" i="8"/>
  <c r="L22" i="8"/>
  <c r="K22" i="8"/>
  <c r="J22" i="8"/>
  <c r="J21" i="8" s="1"/>
  <c r="J30" i="8" s="1"/>
  <c r="L21" i="8"/>
  <c r="I21" i="8"/>
  <c r="I30" i="8" s="1"/>
  <c r="H21" i="8"/>
  <c r="H30" i="8" s="1"/>
  <c r="G21" i="8"/>
  <c r="G30" i="8" s="1"/>
  <c r="F21" i="8"/>
  <c r="F30" i="8" s="1"/>
  <c r="E21" i="8"/>
  <c r="E30" i="8" s="1"/>
  <c r="D21" i="8"/>
  <c r="D30" i="8" s="1"/>
  <c r="O17" i="8"/>
  <c r="O14" i="8" s="1"/>
  <c r="N17" i="8"/>
  <c r="L17" i="8"/>
  <c r="M17" i="8" s="1"/>
  <c r="K17" i="8"/>
  <c r="J17" i="8"/>
  <c r="O15" i="8"/>
  <c r="N15" i="8"/>
  <c r="N14" i="8" s="1"/>
  <c r="L15" i="8"/>
  <c r="L14" i="8" s="1"/>
  <c r="K15" i="8"/>
  <c r="K14" i="8" s="1"/>
  <c r="J15" i="8"/>
  <c r="J14" i="8"/>
  <c r="I14" i="8"/>
  <c r="H14" i="8"/>
  <c r="G14" i="8"/>
  <c r="F14" i="8"/>
  <c r="E14" i="8"/>
  <c r="D14" i="8"/>
  <c r="O13" i="8"/>
  <c r="N13" i="8"/>
  <c r="L13" i="8"/>
  <c r="M13" i="8" s="1"/>
  <c r="K13" i="8"/>
  <c r="J13" i="8"/>
  <c r="O12" i="8"/>
  <c r="N12" i="8"/>
  <c r="L12" i="8"/>
  <c r="L7" i="8" s="1"/>
  <c r="K12" i="8"/>
  <c r="J12" i="8"/>
  <c r="O11" i="8"/>
  <c r="N11" i="8"/>
  <c r="L11" i="8"/>
  <c r="M11" i="8" s="1"/>
  <c r="K11" i="8"/>
  <c r="J11" i="8"/>
  <c r="O10" i="8"/>
  <c r="N10" i="8"/>
  <c r="L10" i="8"/>
  <c r="M10" i="8" s="1"/>
  <c r="K10" i="8"/>
  <c r="K7" i="8" s="1"/>
  <c r="J10" i="8"/>
  <c r="O9" i="8"/>
  <c r="N9" i="8"/>
  <c r="L9" i="8"/>
  <c r="M9" i="8" s="1"/>
  <c r="K9" i="8"/>
  <c r="J9" i="8"/>
  <c r="O8" i="8"/>
  <c r="N8" i="8"/>
  <c r="M8" i="8"/>
  <c r="L8" i="8"/>
  <c r="K8" i="8"/>
  <c r="J8" i="8"/>
  <c r="J7" i="8"/>
  <c r="I7" i="8"/>
  <c r="H7" i="8"/>
  <c r="G7" i="8"/>
  <c r="F7" i="8"/>
  <c r="E7" i="8"/>
  <c r="D7" i="8"/>
  <c r="D18" i="8" s="1"/>
  <c r="O6" i="8"/>
  <c r="N6" i="8"/>
  <c r="N5" i="8" s="1"/>
  <c r="L6" i="8"/>
  <c r="L5" i="8" s="1"/>
  <c r="K6" i="8"/>
  <c r="K5" i="8" s="1"/>
  <c r="J6" i="8"/>
  <c r="O5" i="8"/>
  <c r="J5" i="8"/>
  <c r="I5" i="8"/>
  <c r="H5" i="8"/>
  <c r="G5" i="8"/>
  <c r="F5" i="8"/>
  <c r="F18" i="8" s="1"/>
  <c r="E5" i="8"/>
  <c r="D5" i="8"/>
  <c r="K21" i="8" l="1"/>
  <c r="K30" i="8" s="1"/>
  <c r="G18" i="8"/>
  <c r="L30" i="8"/>
  <c r="M12" i="8"/>
  <c r="H18" i="8"/>
  <c r="L18" i="8"/>
  <c r="O21" i="8"/>
  <c r="O30" i="8" s="1"/>
  <c r="K18" i="8"/>
  <c r="N21" i="8"/>
  <c r="I18" i="8"/>
  <c r="M15" i="8"/>
  <c r="M14" i="8" s="1"/>
  <c r="M18" i="8" s="1"/>
  <c r="F50" i="8"/>
  <c r="N50" i="8"/>
  <c r="C50" i="8"/>
  <c r="K50" i="8"/>
  <c r="J18" i="8"/>
  <c r="O7" i="8"/>
  <c r="O18" i="8" s="1"/>
  <c r="M6" i="8"/>
  <c r="M5" i="8" s="1"/>
  <c r="N7" i="8"/>
  <c r="E18" i="8"/>
  <c r="M21" i="8"/>
  <c r="M30" i="8" s="1"/>
  <c r="M7" i="8"/>
  <c r="N18" i="8"/>
  <c r="N30" i="8"/>
  <c r="AE53" i="3" l="1"/>
  <c r="Z80" i="4" l="1"/>
  <c r="Y80" i="4"/>
  <c r="X80" i="4"/>
  <c r="W80" i="4"/>
  <c r="Z79" i="4"/>
  <c r="Y79" i="4"/>
  <c r="X79" i="4"/>
  <c r="W79" i="4"/>
  <c r="Z78" i="4"/>
  <c r="Y78" i="4"/>
  <c r="X78" i="4"/>
  <c r="W78" i="4"/>
  <c r="Z77" i="4"/>
  <c r="Y77" i="4"/>
  <c r="X77" i="4"/>
  <c r="W77" i="4"/>
  <c r="Z76" i="4"/>
  <c r="Y76" i="4"/>
  <c r="X76" i="4"/>
  <c r="W76" i="4"/>
  <c r="Z75" i="4"/>
  <c r="Y75" i="4"/>
  <c r="X75" i="4"/>
  <c r="W75" i="4"/>
  <c r="Z74" i="4"/>
  <c r="Y74" i="4"/>
  <c r="X74" i="4"/>
  <c r="W74" i="4"/>
  <c r="Z73" i="4"/>
  <c r="Y73" i="4"/>
  <c r="X73" i="4"/>
  <c r="W73" i="4"/>
  <c r="Z72" i="4"/>
  <c r="Y72" i="4"/>
  <c r="X72" i="4"/>
  <c r="W72" i="4"/>
  <c r="Z71" i="4"/>
  <c r="Y71" i="4"/>
  <c r="X71" i="4"/>
  <c r="W71" i="4"/>
  <c r="Z68" i="4"/>
  <c r="Y68" i="4"/>
  <c r="X68" i="4"/>
  <c r="W68" i="4"/>
  <c r="Z55" i="4"/>
  <c r="Y55" i="4"/>
  <c r="X55" i="4"/>
  <c r="W55" i="4"/>
  <c r="Z26" i="4"/>
  <c r="Y26" i="4"/>
  <c r="X26" i="4"/>
  <c r="W26" i="4"/>
  <c r="Z25" i="4"/>
  <c r="Y25" i="4"/>
  <c r="X25" i="4"/>
  <c r="W25" i="4"/>
  <c r="Z24" i="4"/>
  <c r="Y24" i="4"/>
  <c r="X24" i="4"/>
  <c r="W24" i="4"/>
  <c r="Z22" i="4"/>
  <c r="Y22" i="4"/>
  <c r="W22" i="4"/>
  <c r="X22" i="4" s="1"/>
  <c r="Z21" i="4"/>
  <c r="Y21" i="4"/>
  <c r="W21" i="4"/>
  <c r="X21" i="4" s="1"/>
  <c r="Z19" i="4"/>
  <c r="Y19" i="4"/>
  <c r="W19" i="4"/>
  <c r="X19" i="4" s="1"/>
  <c r="Z18" i="4"/>
  <c r="Y18" i="4"/>
  <c r="W18" i="4"/>
  <c r="X18" i="4" s="1"/>
  <c r="Z17" i="4"/>
  <c r="Y17" i="4"/>
  <c r="W17" i="4"/>
  <c r="Z13" i="4"/>
  <c r="Z39" i="4" s="1"/>
  <c r="Y13" i="4"/>
  <c r="W13" i="4"/>
  <c r="W39" i="4" s="1"/>
  <c r="Z12" i="4"/>
  <c r="Z38" i="4" s="1"/>
  <c r="Y12" i="4"/>
  <c r="W12" i="4"/>
  <c r="W38" i="4" s="1"/>
  <c r="Z11" i="4"/>
  <c r="Z37" i="4" s="1"/>
  <c r="Y11" i="4"/>
  <c r="W11" i="4"/>
  <c r="W37" i="4" s="1"/>
  <c r="Z10" i="4"/>
  <c r="Z36" i="4" s="1"/>
  <c r="Y10" i="4"/>
  <c r="Y36" i="4" s="1"/>
  <c r="W10" i="4"/>
  <c r="W36" i="4" s="1"/>
  <c r="Z9" i="4"/>
  <c r="Z35" i="4" s="1"/>
  <c r="Y9" i="4"/>
  <c r="W9" i="4"/>
  <c r="X9" i="4" s="1"/>
  <c r="X35" i="4" s="1"/>
  <c r="Z8" i="4"/>
  <c r="Z34" i="4" s="1"/>
  <c r="Y8" i="4"/>
  <c r="Y34" i="4" s="1"/>
  <c r="W8" i="4"/>
  <c r="W34" i="4" s="1"/>
  <c r="Z7" i="4"/>
  <c r="Z33" i="4" s="1"/>
  <c r="Y7" i="4"/>
  <c r="Y33" i="4" s="1"/>
  <c r="W7" i="4"/>
  <c r="W33" i="4" s="1"/>
  <c r="Z6" i="4"/>
  <c r="Z32" i="4" s="1"/>
  <c r="Y6" i="4"/>
  <c r="Y32" i="4" s="1"/>
  <c r="W6" i="4"/>
  <c r="W32" i="4" s="1"/>
  <c r="Z5" i="4"/>
  <c r="Z31" i="4" s="1"/>
  <c r="Y5" i="4"/>
  <c r="Y31" i="4" s="1"/>
  <c r="W5" i="4"/>
  <c r="W31" i="4" s="1"/>
  <c r="Z4" i="4"/>
  <c r="Z30" i="4" s="1"/>
  <c r="Y4" i="4"/>
  <c r="Y30" i="4" s="1"/>
  <c r="W4" i="4"/>
  <c r="W30" i="4" s="1"/>
  <c r="Z27" i="4" l="1"/>
  <c r="X5" i="4"/>
  <c r="X31" i="4" s="1"/>
  <c r="X7" i="4"/>
  <c r="X33" i="4" s="1"/>
  <c r="X11" i="4"/>
  <c r="X37" i="4" s="1"/>
  <c r="X13" i="4"/>
  <c r="X39" i="4" s="1"/>
  <c r="W35" i="4"/>
  <c r="Y35" i="4"/>
  <c r="Y37" i="4"/>
  <c r="Y39" i="4"/>
  <c r="W27" i="4"/>
  <c r="X4" i="4"/>
  <c r="X6" i="4"/>
  <c r="X32" i="4" s="1"/>
  <c r="X8" i="4"/>
  <c r="X10" i="4"/>
  <c r="X36" i="4" s="1"/>
  <c r="X12" i="4"/>
  <c r="X38" i="4" s="1"/>
  <c r="X17" i="4"/>
  <c r="X27" i="4" s="1"/>
  <c r="Y38" i="4"/>
  <c r="Y27" i="4"/>
  <c r="W81" i="4"/>
  <c r="X81" i="4"/>
  <c r="Y81" i="4"/>
  <c r="Z81" i="4"/>
  <c r="Z40" i="4"/>
  <c r="Y40" i="4"/>
  <c r="W40" i="4"/>
  <c r="X34" i="4"/>
  <c r="W14" i="4"/>
  <c r="Y14" i="4"/>
  <c r="Z14" i="4"/>
  <c r="X30" i="4" l="1"/>
  <c r="X40" i="4" s="1"/>
  <c r="X14" i="4"/>
  <c r="X4" i="5"/>
  <c r="X6" i="5"/>
  <c r="X7" i="5"/>
  <c r="X8" i="5"/>
  <c r="X9" i="5"/>
  <c r="X10" i="5"/>
  <c r="X11" i="5"/>
  <c r="X12" i="5"/>
  <c r="X13" i="5"/>
  <c r="X14" i="5"/>
  <c r="X15" i="5"/>
  <c r="X16" i="5"/>
  <c r="X17" i="5"/>
  <c r="Y42" i="5"/>
  <c r="X5" i="5" l="1"/>
  <c r="X18" i="5" s="1"/>
  <c r="Z26" i="5"/>
  <c r="Z39" i="5" s="1"/>
  <c r="Y26" i="5"/>
  <c r="Y39" i="5" s="1"/>
  <c r="X26" i="5"/>
  <c r="X39" i="5" s="1"/>
  <c r="Z17" i="5"/>
  <c r="Y17" i="5"/>
  <c r="Z16" i="5"/>
  <c r="Y16" i="5"/>
  <c r="Z15" i="5"/>
  <c r="Y15" i="5"/>
  <c r="Z14" i="5"/>
  <c r="Y14" i="5"/>
  <c r="Z13" i="5"/>
  <c r="Y13" i="5"/>
  <c r="Z12" i="5"/>
  <c r="Y12" i="5"/>
  <c r="Z11" i="5"/>
  <c r="Y11" i="5"/>
  <c r="Z10" i="5"/>
  <c r="Y10" i="5"/>
  <c r="Z9" i="5"/>
  <c r="Y9" i="5"/>
  <c r="Z8" i="5"/>
  <c r="Y8" i="5"/>
  <c r="Z7" i="5"/>
  <c r="Y7" i="5"/>
  <c r="Z6" i="5"/>
  <c r="Y6" i="5"/>
  <c r="Z4" i="5"/>
  <c r="Y4" i="5"/>
  <c r="Y5" i="5" l="1"/>
  <c r="Y18" i="5" s="1"/>
  <c r="Z5" i="5"/>
  <c r="Z18" i="5" s="1"/>
  <c r="AD53" i="3"/>
  <c r="AC53" i="3" l="1"/>
  <c r="AB53" i="3" l="1"/>
  <c r="Z11" i="3" l="1"/>
  <c r="Z7" i="3"/>
  <c r="S34" i="3" l="1"/>
  <c r="S35" i="3" s="1"/>
  <c r="R18" i="3"/>
  <c r="R15" i="3"/>
  <c r="R6" i="3"/>
  <c r="R9" i="3"/>
  <c r="R21" i="3" l="1"/>
  <c r="R12" i="3"/>
  <c r="V18" i="3" l="1"/>
  <c r="W18" i="3"/>
  <c r="V26" i="3"/>
  <c r="T9" i="3"/>
  <c r="U9" i="3"/>
  <c r="V28" i="3"/>
  <c r="W9" i="3"/>
  <c r="Y9" i="3"/>
  <c r="Z9" i="3"/>
  <c r="U29" i="3"/>
  <c r="V29" i="3"/>
  <c r="W29" i="3"/>
  <c r="Z29" i="3"/>
  <c r="T25" i="3"/>
  <c r="V6" i="3"/>
  <c r="V12" i="3" s="1"/>
  <c r="W6" i="3"/>
  <c r="Z6" i="3"/>
  <c r="Z12" i="3" s="1"/>
  <c r="X6" i="3"/>
  <c r="Y6" i="3"/>
  <c r="S28" i="3"/>
  <c r="T28" i="3"/>
  <c r="W28" i="3"/>
  <c r="X28" i="3"/>
  <c r="Y28" i="3"/>
  <c r="S29" i="3"/>
  <c r="T29" i="3"/>
  <c r="X29" i="3"/>
  <c r="Y29" i="3"/>
  <c r="S25" i="3"/>
  <c r="V25" i="3"/>
  <c r="W25" i="3"/>
  <c r="W24" i="3" s="1"/>
  <c r="X25" i="3"/>
  <c r="Y25" i="3"/>
  <c r="S26" i="3"/>
  <c r="T26" i="3"/>
  <c r="U26" i="3"/>
  <c r="W26" i="3"/>
  <c r="X26" i="3"/>
  <c r="Y26" i="3"/>
  <c r="Y24" i="3" s="1"/>
  <c r="Z26" i="3"/>
  <c r="S18" i="3"/>
  <c r="S15" i="3"/>
  <c r="T18" i="3"/>
  <c r="U18" i="3"/>
  <c r="T15" i="3"/>
  <c r="U15" i="3"/>
  <c r="V15" i="3"/>
  <c r="V21" i="3" s="1"/>
  <c r="S9" i="3"/>
  <c r="V9" i="3"/>
  <c r="S6" i="3"/>
  <c r="T6" i="3"/>
  <c r="T12" i="3" s="1"/>
  <c r="X18" i="3"/>
  <c r="Y18" i="3"/>
  <c r="Z18" i="3"/>
  <c r="W15" i="3"/>
  <c r="W21" i="3" s="1"/>
  <c r="X15" i="3"/>
  <c r="Y15" i="3"/>
  <c r="Z15" i="3"/>
  <c r="X9" i="3"/>
  <c r="AA53" i="3"/>
  <c r="N59" i="6"/>
  <c r="N51" i="6"/>
  <c r="Y53" i="3"/>
  <c r="Z35" i="3"/>
  <c r="Z53" i="3"/>
  <c r="Z48" i="3"/>
  <c r="N25" i="6"/>
  <c r="N32" i="6"/>
  <c r="N30" i="6"/>
  <c r="N29" i="6"/>
  <c r="N27" i="6"/>
  <c r="N26" i="6"/>
  <c r="N24" i="6"/>
  <c r="N22" i="6"/>
  <c r="N20" i="6"/>
  <c r="N19" i="6"/>
  <c r="N14" i="6"/>
  <c r="N17" i="6"/>
  <c r="N16" i="6"/>
  <c r="N15" i="6"/>
  <c r="N11" i="6"/>
  <c r="N10" i="6"/>
  <c r="N8" i="6"/>
  <c r="N7" i="6"/>
  <c r="N5" i="6"/>
  <c r="N36" i="6"/>
  <c r="Y48" i="3"/>
  <c r="Y35" i="3"/>
  <c r="M59" i="6"/>
  <c r="M51" i="6"/>
  <c r="M36" i="6"/>
  <c r="L36" i="6"/>
  <c r="M32" i="6"/>
  <c r="L32" i="6"/>
  <c r="M30" i="6"/>
  <c r="L30" i="6"/>
  <c r="M29" i="6"/>
  <c r="L29" i="6"/>
  <c r="M27" i="6"/>
  <c r="L27" i="6"/>
  <c r="M26" i="6"/>
  <c r="L26" i="6"/>
  <c r="M24" i="6"/>
  <c r="L24" i="6"/>
  <c r="M22" i="6"/>
  <c r="L22" i="6"/>
  <c r="M20" i="6"/>
  <c r="L20" i="6"/>
  <c r="L21" i="6" s="1"/>
  <c r="M19" i="6"/>
  <c r="L19" i="6"/>
  <c r="M17" i="6"/>
  <c r="L17" i="6"/>
  <c r="M16" i="6"/>
  <c r="L16" i="6"/>
  <c r="M15" i="6"/>
  <c r="L15" i="6"/>
  <c r="M14" i="6"/>
  <c r="L14" i="6"/>
  <c r="M11" i="6"/>
  <c r="L11" i="6"/>
  <c r="M10" i="6"/>
  <c r="L10" i="6"/>
  <c r="M8" i="6"/>
  <c r="L8" i="6"/>
  <c r="M7" i="6"/>
  <c r="L7" i="6"/>
  <c r="M5" i="6"/>
  <c r="L5" i="6"/>
  <c r="L59" i="6"/>
  <c r="L51" i="6"/>
  <c r="W56" i="3"/>
  <c r="W53" i="3" s="1"/>
  <c r="K32" i="6"/>
  <c r="K30" i="6"/>
  <c r="K29" i="6"/>
  <c r="K27" i="6"/>
  <c r="K26" i="6"/>
  <c r="K24" i="6"/>
  <c r="K22" i="6"/>
  <c r="K20" i="6"/>
  <c r="K19" i="6"/>
  <c r="K17" i="6"/>
  <c r="K16" i="6"/>
  <c r="K15" i="6"/>
  <c r="K14" i="6"/>
  <c r="K11" i="6"/>
  <c r="K10" i="6"/>
  <c r="K8" i="6"/>
  <c r="K7" i="6"/>
  <c r="K5" i="6"/>
  <c r="K51" i="6"/>
  <c r="K12" i="6"/>
  <c r="K4" i="6"/>
  <c r="K6" i="6" s="1"/>
  <c r="W35" i="3"/>
  <c r="W48" i="3"/>
  <c r="W17" i="5"/>
  <c r="W16" i="5"/>
  <c r="W15" i="5"/>
  <c r="W14" i="5"/>
  <c r="W13" i="5"/>
  <c r="W12" i="5"/>
  <c r="W11" i="5"/>
  <c r="W10" i="5"/>
  <c r="W9" i="5"/>
  <c r="W8" i="5"/>
  <c r="W7" i="5"/>
  <c r="W6" i="5"/>
  <c r="W4" i="5"/>
  <c r="W26" i="5"/>
  <c r="W39" i="5" s="1"/>
  <c r="K36" i="6"/>
  <c r="K59" i="6"/>
  <c r="V48" i="3"/>
  <c r="V35" i="3"/>
  <c r="V17" i="5"/>
  <c r="V16" i="5"/>
  <c r="V15" i="5"/>
  <c r="V14" i="5"/>
  <c r="V13" i="5"/>
  <c r="V12" i="5"/>
  <c r="V11" i="5"/>
  <c r="V10" i="5"/>
  <c r="V9" i="5"/>
  <c r="V8" i="5"/>
  <c r="V7" i="5"/>
  <c r="V6" i="5"/>
  <c r="V5" i="5" s="1"/>
  <c r="V18" i="5" s="1"/>
  <c r="V4" i="5"/>
  <c r="V26" i="5"/>
  <c r="V39" i="5" s="1"/>
  <c r="V26" i="4"/>
  <c r="V25" i="4"/>
  <c r="V24" i="4"/>
  <c r="V21" i="4"/>
  <c r="V19" i="4"/>
  <c r="V18" i="4"/>
  <c r="V31" i="4" s="1"/>
  <c r="V17" i="4"/>
  <c r="V27" i="4" s="1"/>
  <c r="V13" i="4"/>
  <c r="V39" i="4" s="1"/>
  <c r="V12" i="4"/>
  <c r="V38" i="4" s="1"/>
  <c r="V11" i="4"/>
  <c r="V10" i="4"/>
  <c r="V36" i="4" s="1"/>
  <c r="V9" i="4"/>
  <c r="V35" i="4" s="1"/>
  <c r="V8" i="4"/>
  <c r="V34" i="4" s="1"/>
  <c r="V7" i="4"/>
  <c r="V33" i="4" s="1"/>
  <c r="V6" i="4"/>
  <c r="V32" i="4" s="1"/>
  <c r="V5" i="4"/>
  <c r="V4" i="4"/>
  <c r="V68" i="4"/>
  <c r="V55" i="4"/>
  <c r="V71" i="4"/>
  <c r="V72" i="4"/>
  <c r="V73" i="4"/>
  <c r="V74" i="4"/>
  <c r="V75" i="4"/>
  <c r="V76" i="4"/>
  <c r="V77" i="4"/>
  <c r="V78" i="4"/>
  <c r="V79" i="4"/>
  <c r="V80" i="4"/>
  <c r="J32" i="6"/>
  <c r="J30" i="6"/>
  <c r="J29" i="6"/>
  <c r="J27" i="6"/>
  <c r="J26" i="6"/>
  <c r="J24" i="6"/>
  <c r="J22" i="6"/>
  <c r="J20" i="6"/>
  <c r="J19" i="6"/>
  <c r="J17" i="6"/>
  <c r="J16" i="6"/>
  <c r="J15" i="6"/>
  <c r="J14" i="6"/>
  <c r="J11" i="6"/>
  <c r="J10" i="6"/>
  <c r="J8" i="6"/>
  <c r="J7" i="6"/>
  <c r="J5" i="6"/>
  <c r="J4" i="6"/>
  <c r="F32" i="6"/>
  <c r="F30" i="6"/>
  <c r="F29" i="6"/>
  <c r="F27" i="6"/>
  <c r="F26" i="6"/>
  <c r="F24" i="6"/>
  <c r="F22" i="6"/>
  <c r="F20" i="6"/>
  <c r="F19" i="6"/>
  <c r="F17" i="6"/>
  <c r="F16" i="6"/>
  <c r="F15" i="6"/>
  <c r="F14" i="6"/>
  <c r="F13" i="6"/>
  <c r="F11" i="6"/>
  <c r="F10" i="6"/>
  <c r="F8" i="6"/>
  <c r="F7" i="6"/>
  <c r="F5" i="6"/>
  <c r="J36" i="6"/>
  <c r="F36" i="6"/>
  <c r="F4" i="6"/>
  <c r="J12" i="6"/>
  <c r="J51" i="6"/>
  <c r="J59" i="6"/>
  <c r="F59" i="6"/>
  <c r="F12" i="6"/>
  <c r="E36" i="6"/>
  <c r="E32" i="6"/>
  <c r="E30" i="6"/>
  <c r="E29" i="6"/>
  <c r="E27" i="6"/>
  <c r="E26" i="6"/>
  <c r="E24" i="6"/>
  <c r="E22" i="6"/>
  <c r="E20" i="6"/>
  <c r="E19" i="6"/>
  <c r="E17" i="6"/>
  <c r="E16" i="6"/>
  <c r="E15" i="6"/>
  <c r="E14" i="6"/>
  <c r="E13" i="6"/>
  <c r="E12" i="6"/>
  <c r="E11" i="6"/>
  <c r="E10" i="6"/>
  <c r="E8" i="6"/>
  <c r="E7" i="6"/>
  <c r="E5" i="6"/>
  <c r="E4" i="6"/>
  <c r="E59" i="6"/>
  <c r="U35" i="3"/>
  <c r="U48" i="3"/>
  <c r="U4" i="5"/>
  <c r="U17" i="5"/>
  <c r="U16" i="5"/>
  <c r="U15" i="5"/>
  <c r="U14" i="5"/>
  <c r="U13" i="5"/>
  <c r="U12" i="5"/>
  <c r="U11" i="5"/>
  <c r="U10" i="5"/>
  <c r="U9" i="5"/>
  <c r="U8" i="5"/>
  <c r="U7" i="5"/>
  <c r="U6" i="5"/>
  <c r="U26" i="5"/>
  <c r="U39" i="5" s="1"/>
  <c r="U26" i="4"/>
  <c r="U25" i="4"/>
  <c r="U24" i="4"/>
  <c r="U21" i="4"/>
  <c r="U19" i="4"/>
  <c r="U18" i="4"/>
  <c r="U17" i="4"/>
  <c r="U13" i="4"/>
  <c r="U39" i="4" s="1"/>
  <c r="U12" i="4"/>
  <c r="U11" i="4"/>
  <c r="U37" i="4" s="1"/>
  <c r="U10" i="4"/>
  <c r="U36" i="4" s="1"/>
  <c r="U9" i="4"/>
  <c r="U35" i="4" s="1"/>
  <c r="U8" i="4"/>
  <c r="U7" i="4"/>
  <c r="U33" i="4" s="1"/>
  <c r="U6" i="4"/>
  <c r="U14" i="4" s="1"/>
  <c r="U5" i="4"/>
  <c r="U4" i="4"/>
  <c r="T4" i="4"/>
  <c r="U80" i="4"/>
  <c r="U79" i="4"/>
  <c r="U78" i="4"/>
  <c r="U77" i="4"/>
  <c r="U76" i="4"/>
  <c r="U75" i="4"/>
  <c r="U74" i="4"/>
  <c r="U73" i="4"/>
  <c r="U72" i="4"/>
  <c r="U71" i="4"/>
  <c r="U68" i="4"/>
  <c r="U55" i="4"/>
  <c r="D27" i="6"/>
  <c r="I51" i="6"/>
  <c r="I36" i="6"/>
  <c r="I32" i="6"/>
  <c r="I30" i="6"/>
  <c r="I29" i="6"/>
  <c r="I27" i="6"/>
  <c r="I26" i="6"/>
  <c r="I24" i="6"/>
  <c r="I22" i="6"/>
  <c r="I20" i="6"/>
  <c r="I19" i="6"/>
  <c r="I17" i="6"/>
  <c r="I16" i="6"/>
  <c r="I15" i="6"/>
  <c r="I14" i="6"/>
  <c r="I12" i="6"/>
  <c r="I11" i="6"/>
  <c r="I10" i="6"/>
  <c r="I8" i="6"/>
  <c r="I7" i="6"/>
  <c r="I5" i="6"/>
  <c r="I4" i="6"/>
  <c r="I59" i="6"/>
  <c r="G51" i="6"/>
  <c r="H27" i="6"/>
  <c r="H51" i="6"/>
  <c r="T17" i="5"/>
  <c r="S17" i="5"/>
  <c r="R17" i="5"/>
  <c r="Q17" i="5"/>
  <c r="P17" i="5"/>
  <c r="O17" i="5"/>
  <c r="T16" i="5"/>
  <c r="S16" i="5"/>
  <c r="R16" i="5"/>
  <c r="Q16" i="5"/>
  <c r="P16" i="5"/>
  <c r="O16" i="5"/>
  <c r="T15" i="5"/>
  <c r="S15" i="5"/>
  <c r="R15" i="5"/>
  <c r="Q15" i="5"/>
  <c r="P15" i="5"/>
  <c r="O15" i="5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O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S5" i="5" s="1"/>
  <c r="R6" i="5"/>
  <c r="Q6" i="5"/>
  <c r="P6" i="5"/>
  <c r="O6" i="5"/>
  <c r="T4" i="5"/>
  <c r="S4" i="5"/>
  <c r="R4" i="5"/>
  <c r="Q4" i="5"/>
  <c r="P4" i="5"/>
  <c r="O4" i="5"/>
  <c r="T34" i="3"/>
  <c r="T35" i="3" s="1"/>
  <c r="T48" i="3"/>
  <c r="T26" i="5"/>
  <c r="T39" i="5" s="1"/>
  <c r="S30" i="4"/>
  <c r="S31" i="4"/>
  <c r="S32" i="4"/>
  <c r="S33" i="4"/>
  <c r="S34" i="4"/>
  <c r="S35" i="4"/>
  <c r="S36" i="4"/>
  <c r="S37" i="4"/>
  <c r="S38" i="4"/>
  <c r="S39" i="4"/>
  <c r="H36" i="6"/>
  <c r="H32" i="6"/>
  <c r="H30" i="6"/>
  <c r="H29" i="6"/>
  <c r="H26" i="6"/>
  <c r="H24" i="6"/>
  <c r="H22" i="6"/>
  <c r="H20" i="6"/>
  <c r="H19" i="6"/>
  <c r="H17" i="6"/>
  <c r="H16" i="6"/>
  <c r="H15" i="6"/>
  <c r="H14" i="6"/>
  <c r="H12" i="6"/>
  <c r="H11" i="6"/>
  <c r="H10" i="6"/>
  <c r="H8" i="6"/>
  <c r="H7" i="6"/>
  <c r="H5" i="6"/>
  <c r="H4" i="6"/>
  <c r="D36" i="6"/>
  <c r="D32" i="6"/>
  <c r="D30" i="6"/>
  <c r="D29" i="6"/>
  <c r="D26" i="6"/>
  <c r="D24" i="6"/>
  <c r="D22" i="6"/>
  <c r="D20" i="6"/>
  <c r="D19" i="6"/>
  <c r="D17" i="6"/>
  <c r="D16" i="6"/>
  <c r="D15" i="6"/>
  <c r="D14" i="6"/>
  <c r="D13" i="6"/>
  <c r="D12" i="6"/>
  <c r="D11" i="6"/>
  <c r="D10" i="6"/>
  <c r="D8" i="6"/>
  <c r="D7" i="6"/>
  <c r="D5" i="6"/>
  <c r="D4" i="6"/>
  <c r="D59" i="6"/>
  <c r="H59" i="6"/>
  <c r="T26" i="4"/>
  <c r="T25" i="4"/>
  <c r="T24" i="4"/>
  <c r="T21" i="4"/>
  <c r="T34" i="4" s="1"/>
  <c r="T19" i="4"/>
  <c r="T32" i="4" s="1"/>
  <c r="T18" i="4"/>
  <c r="T17" i="4"/>
  <c r="T13" i="4"/>
  <c r="T39" i="4"/>
  <c r="T12" i="4"/>
  <c r="T11" i="4"/>
  <c r="T37" i="4"/>
  <c r="T10" i="4"/>
  <c r="T36" i="4" s="1"/>
  <c r="T9" i="4"/>
  <c r="T35" i="4" s="1"/>
  <c r="T8" i="4"/>
  <c r="T7" i="4"/>
  <c r="T6" i="4"/>
  <c r="T5" i="4"/>
  <c r="T80" i="4"/>
  <c r="T79" i="4"/>
  <c r="T78" i="4"/>
  <c r="T77" i="4"/>
  <c r="T76" i="4"/>
  <c r="T75" i="4"/>
  <c r="T74" i="4"/>
  <c r="T73" i="4"/>
  <c r="T72" i="4"/>
  <c r="T71" i="4"/>
  <c r="T68" i="4"/>
  <c r="T55" i="4"/>
  <c r="C76" i="6"/>
  <c r="C59" i="6"/>
  <c r="C21" i="6"/>
  <c r="C9" i="6"/>
  <c r="C6" i="6"/>
  <c r="S26" i="5"/>
  <c r="S39" i="5" s="1"/>
  <c r="S80" i="4"/>
  <c r="S79" i="4"/>
  <c r="S78" i="4"/>
  <c r="S77" i="4"/>
  <c r="S76" i="4"/>
  <c r="S75" i="4"/>
  <c r="S74" i="4"/>
  <c r="S73" i="4"/>
  <c r="S72" i="4"/>
  <c r="S71" i="4"/>
  <c r="S68" i="4"/>
  <c r="S55" i="4"/>
  <c r="G59" i="6"/>
  <c r="AJ37" i="1"/>
  <c r="AJ38" i="1"/>
  <c r="AJ39" i="1"/>
  <c r="R37" i="1"/>
  <c r="R39" i="1"/>
  <c r="R27" i="3"/>
  <c r="R24" i="3"/>
  <c r="R48" i="3"/>
  <c r="Q35" i="2"/>
  <c r="R34" i="2"/>
  <c r="R35" i="2" s="1"/>
  <c r="Q34" i="2"/>
  <c r="P34" i="2"/>
  <c r="O34" i="2"/>
  <c r="O35" i="2"/>
  <c r="N34" i="2"/>
  <c r="N35" i="2" s="1"/>
  <c r="R32" i="2"/>
  <c r="R26" i="2"/>
  <c r="Q26" i="2"/>
  <c r="P26" i="2"/>
  <c r="P35" i="2" s="1"/>
  <c r="O26" i="2"/>
  <c r="N26" i="2"/>
  <c r="R13" i="2"/>
  <c r="Q13" i="2"/>
  <c r="P13" i="2"/>
  <c r="O13" i="2"/>
  <c r="N13" i="2"/>
  <c r="Q26" i="5"/>
  <c r="Q39" i="5" s="1"/>
  <c r="P26" i="5"/>
  <c r="P39" i="5" s="1"/>
  <c r="O26" i="5"/>
  <c r="O39" i="5" s="1"/>
  <c r="N26" i="5"/>
  <c r="N39" i="5" s="1"/>
  <c r="R26" i="5"/>
  <c r="R39" i="5" s="1"/>
  <c r="P39" i="4"/>
  <c r="P38" i="4"/>
  <c r="P37" i="4"/>
  <c r="P36" i="4"/>
  <c r="P35" i="4"/>
  <c r="P34" i="4"/>
  <c r="P40" i="4" s="1"/>
  <c r="P33" i="4"/>
  <c r="P32" i="4"/>
  <c r="P31" i="4"/>
  <c r="P30" i="4"/>
  <c r="R39" i="4"/>
  <c r="Q39" i="4"/>
  <c r="O39" i="4"/>
  <c r="R38" i="4"/>
  <c r="Q38" i="4"/>
  <c r="O38" i="4"/>
  <c r="R37" i="4"/>
  <c r="Q37" i="4"/>
  <c r="O37" i="4"/>
  <c r="R36" i="4"/>
  <c r="Q36" i="4"/>
  <c r="O36" i="4"/>
  <c r="R35" i="4"/>
  <c r="Q35" i="4"/>
  <c r="O35" i="4"/>
  <c r="R34" i="4"/>
  <c r="Q34" i="4"/>
  <c r="O34" i="4"/>
  <c r="R33" i="4"/>
  <c r="Q33" i="4"/>
  <c r="O33" i="4"/>
  <c r="R32" i="4"/>
  <c r="Q32" i="4"/>
  <c r="O32" i="4"/>
  <c r="R31" i="4"/>
  <c r="Q31" i="4"/>
  <c r="O31" i="4"/>
  <c r="R30" i="4"/>
  <c r="Q30" i="4"/>
  <c r="R80" i="4"/>
  <c r="Q80" i="4"/>
  <c r="P80" i="4"/>
  <c r="O80" i="4"/>
  <c r="N80" i="4"/>
  <c r="R79" i="4"/>
  <c r="Q79" i="4"/>
  <c r="P79" i="4"/>
  <c r="O79" i="4"/>
  <c r="N79" i="4"/>
  <c r="R78" i="4"/>
  <c r="Q78" i="4"/>
  <c r="P78" i="4"/>
  <c r="O78" i="4"/>
  <c r="N78" i="4"/>
  <c r="R77" i="4"/>
  <c r="Q77" i="4"/>
  <c r="P77" i="4"/>
  <c r="O77" i="4"/>
  <c r="N77" i="4"/>
  <c r="R76" i="4"/>
  <c r="Q76" i="4"/>
  <c r="P76" i="4"/>
  <c r="O76" i="4"/>
  <c r="N76" i="4"/>
  <c r="R75" i="4"/>
  <c r="Q75" i="4"/>
  <c r="P75" i="4"/>
  <c r="O75" i="4"/>
  <c r="N75" i="4"/>
  <c r="R74" i="4"/>
  <c r="Q74" i="4"/>
  <c r="P74" i="4"/>
  <c r="O74" i="4"/>
  <c r="N74" i="4"/>
  <c r="R73" i="4"/>
  <c r="Q73" i="4"/>
  <c r="P73" i="4"/>
  <c r="O73" i="4"/>
  <c r="N73" i="4"/>
  <c r="R72" i="4"/>
  <c r="Q72" i="4"/>
  <c r="P72" i="4"/>
  <c r="O72" i="4"/>
  <c r="N72" i="4"/>
  <c r="R71" i="4"/>
  <c r="Q71" i="4"/>
  <c r="P71" i="4"/>
  <c r="O71" i="4"/>
  <c r="N71" i="4"/>
  <c r="R68" i="4"/>
  <c r="Q68" i="4"/>
  <c r="Q81" i="4" s="1"/>
  <c r="P68" i="4"/>
  <c r="O68" i="4"/>
  <c r="O81" i="4" s="1"/>
  <c r="N68" i="4"/>
  <c r="R55" i="4"/>
  <c r="Q55" i="4"/>
  <c r="P55" i="4"/>
  <c r="O55" i="4"/>
  <c r="N55" i="4"/>
  <c r="R18" i="1"/>
  <c r="R15" i="1"/>
  <c r="R21" i="1"/>
  <c r="R24" i="1" s="1"/>
  <c r="R26" i="1" s="1"/>
  <c r="R28" i="1" s="1"/>
  <c r="R31" i="1" s="1"/>
  <c r="R8" i="1"/>
  <c r="R5" i="1"/>
  <c r="R38" i="1" s="1"/>
  <c r="AH39" i="1"/>
  <c r="Q27" i="3"/>
  <c r="Q24" i="3"/>
  <c r="Q48" i="3"/>
  <c r="AI37" i="1"/>
  <c r="AI39" i="1"/>
  <c r="Q37" i="1"/>
  <c r="Q39" i="1"/>
  <c r="Q18" i="1"/>
  <c r="Q8" i="1"/>
  <c r="Q15" i="1" s="1"/>
  <c r="Q5" i="1"/>
  <c r="Q38" i="1" s="1"/>
  <c r="P29" i="3"/>
  <c r="P27" i="3" s="1"/>
  <c r="P30" i="3" s="1"/>
  <c r="P24" i="3"/>
  <c r="P48" i="3"/>
  <c r="P18" i="1"/>
  <c r="P21" i="1" s="1"/>
  <c r="P24" i="1" s="1"/>
  <c r="P26" i="1" s="1"/>
  <c r="P15" i="1"/>
  <c r="AD38" i="1"/>
  <c r="AE38" i="1"/>
  <c r="AF38" i="1"/>
  <c r="AG38" i="1"/>
  <c r="AH38" i="1"/>
  <c r="AD39" i="1"/>
  <c r="AE39" i="1"/>
  <c r="AF39" i="1"/>
  <c r="AG39" i="1"/>
  <c r="AC39" i="1"/>
  <c r="AC38" i="1"/>
  <c r="AH37" i="1"/>
  <c r="AG37" i="1"/>
  <c r="AF37" i="1"/>
  <c r="AE37" i="1"/>
  <c r="AD37" i="1"/>
  <c r="AC37" i="1"/>
  <c r="L39" i="1"/>
  <c r="M39" i="1"/>
  <c r="N39" i="1"/>
  <c r="O39" i="1"/>
  <c r="P39" i="1"/>
  <c r="K39" i="1"/>
  <c r="L38" i="1"/>
  <c r="P38" i="1"/>
  <c r="L37" i="1"/>
  <c r="M37" i="1"/>
  <c r="N37" i="1"/>
  <c r="O37" i="1"/>
  <c r="P37" i="1"/>
  <c r="K37" i="1"/>
  <c r="AB37" i="1"/>
  <c r="AB39" i="1" s="1"/>
  <c r="AA37" i="1"/>
  <c r="AA39" i="1"/>
  <c r="Z37" i="1"/>
  <c r="Z39" i="1" s="1"/>
  <c r="Y37" i="1"/>
  <c r="Y39" i="1"/>
  <c r="X37" i="1"/>
  <c r="X39" i="1" s="1"/>
  <c r="W37" i="1"/>
  <c r="W39" i="1"/>
  <c r="V37" i="1"/>
  <c r="V39" i="1" s="1"/>
  <c r="U37" i="1"/>
  <c r="U39" i="1"/>
  <c r="O29" i="3"/>
  <c r="O27" i="3" s="1"/>
  <c r="O30" i="3" s="1"/>
  <c r="O24" i="3"/>
  <c r="O48" i="3"/>
  <c r="M34" i="2"/>
  <c r="M35" i="2" s="1"/>
  <c r="L32" i="2"/>
  <c r="L34" i="2"/>
  <c r="L35" i="2"/>
  <c r="K32" i="2"/>
  <c r="K34" i="2"/>
  <c r="K35" i="2"/>
  <c r="M26" i="2"/>
  <c r="L26" i="2"/>
  <c r="K26" i="2"/>
  <c r="M13" i="2"/>
  <c r="L13" i="2"/>
  <c r="K13" i="2"/>
  <c r="O18" i="1"/>
  <c r="O8" i="1"/>
  <c r="O15" i="1" s="1"/>
  <c r="O21" i="1" s="1"/>
  <c r="O24" i="1" s="1"/>
  <c r="O26" i="1" s="1"/>
  <c r="O28" i="1" s="1"/>
  <c r="O31" i="1" s="1"/>
  <c r="O5" i="1"/>
  <c r="O38" i="1" s="1"/>
  <c r="N29" i="3"/>
  <c r="N27" i="3" s="1"/>
  <c r="N30" i="3" s="1"/>
  <c r="N24" i="3"/>
  <c r="N48" i="3"/>
  <c r="J32" i="2"/>
  <c r="J34" i="2" s="1"/>
  <c r="J35" i="2" s="1"/>
  <c r="J26" i="2"/>
  <c r="J13" i="2"/>
  <c r="N30" i="4"/>
  <c r="N31" i="4"/>
  <c r="N32" i="4"/>
  <c r="N33" i="4"/>
  <c r="N34" i="4"/>
  <c r="N35" i="4"/>
  <c r="N36" i="4"/>
  <c r="N37" i="4"/>
  <c r="N38" i="4"/>
  <c r="N39" i="4"/>
  <c r="N27" i="4"/>
  <c r="N14" i="4"/>
  <c r="N18" i="1"/>
  <c r="N8" i="1"/>
  <c r="N5" i="1"/>
  <c r="N38" i="1" s="1"/>
  <c r="M18" i="1"/>
  <c r="M21" i="1" s="1"/>
  <c r="M24" i="1" s="1"/>
  <c r="M26" i="1" s="1"/>
  <c r="M8" i="1"/>
  <c r="M5" i="1"/>
  <c r="M38" i="1" s="1"/>
  <c r="M39" i="4"/>
  <c r="M38" i="4"/>
  <c r="M37" i="4"/>
  <c r="M36" i="4"/>
  <c r="M35" i="4"/>
  <c r="M34" i="4"/>
  <c r="M33" i="4"/>
  <c r="M32" i="4"/>
  <c r="M31" i="4"/>
  <c r="M30" i="4"/>
  <c r="M27" i="4"/>
  <c r="M14" i="4"/>
  <c r="M80" i="4"/>
  <c r="M79" i="4"/>
  <c r="M78" i="4"/>
  <c r="M77" i="4"/>
  <c r="M76" i="4"/>
  <c r="M75" i="4"/>
  <c r="M74" i="4"/>
  <c r="M73" i="4"/>
  <c r="M72" i="4"/>
  <c r="M71" i="4"/>
  <c r="M68" i="4"/>
  <c r="M55" i="4"/>
  <c r="M26" i="5"/>
  <c r="M39" i="5" s="1"/>
  <c r="L27" i="3"/>
  <c r="K27" i="3"/>
  <c r="J27" i="3"/>
  <c r="J30" i="3" s="1"/>
  <c r="I27" i="3"/>
  <c r="H27" i="3"/>
  <c r="G27" i="3"/>
  <c r="L24" i="3"/>
  <c r="K24" i="3"/>
  <c r="J24" i="3"/>
  <c r="I24" i="3"/>
  <c r="H24" i="3"/>
  <c r="H30" i="3" s="1"/>
  <c r="G24" i="3"/>
  <c r="I34" i="2"/>
  <c r="I35" i="2" s="1"/>
  <c r="I32" i="2"/>
  <c r="H32" i="2"/>
  <c r="H34" i="2"/>
  <c r="H35" i="2" s="1"/>
  <c r="G32" i="2"/>
  <c r="G34" i="2"/>
  <c r="G35" i="2" s="1"/>
  <c r="I26" i="2"/>
  <c r="H26" i="2"/>
  <c r="G26" i="2"/>
  <c r="I13" i="2"/>
  <c r="H13" i="2"/>
  <c r="G13" i="2"/>
  <c r="L26" i="5"/>
  <c r="L39" i="5" s="1"/>
  <c r="K26" i="5"/>
  <c r="K39" i="5" s="1"/>
  <c r="J26" i="5"/>
  <c r="J39" i="5" s="1"/>
  <c r="I26" i="5"/>
  <c r="I39" i="5"/>
  <c r="H26" i="5"/>
  <c r="H39" i="5" s="1"/>
  <c r="L80" i="4"/>
  <c r="K80" i="4"/>
  <c r="J80" i="4"/>
  <c r="I80" i="4"/>
  <c r="H80" i="4"/>
  <c r="G80" i="4"/>
  <c r="L79" i="4"/>
  <c r="K79" i="4"/>
  <c r="J79" i="4"/>
  <c r="I79" i="4"/>
  <c r="H79" i="4"/>
  <c r="G79" i="4"/>
  <c r="L78" i="4"/>
  <c r="K78" i="4"/>
  <c r="J78" i="4"/>
  <c r="I78" i="4"/>
  <c r="H78" i="4"/>
  <c r="G78" i="4"/>
  <c r="L77" i="4"/>
  <c r="K77" i="4"/>
  <c r="J77" i="4"/>
  <c r="I77" i="4"/>
  <c r="H77" i="4"/>
  <c r="G77" i="4"/>
  <c r="L76" i="4"/>
  <c r="K76" i="4"/>
  <c r="J76" i="4"/>
  <c r="I76" i="4"/>
  <c r="H76" i="4"/>
  <c r="G76" i="4"/>
  <c r="L75" i="4"/>
  <c r="K75" i="4"/>
  <c r="J75" i="4"/>
  <c r="I75" i="4"/>
  <c r="H75" i="4"/>
  <c r="G75" i="4"/>
  <c r="L74" i="4"/>
  <c r="K74" i="4"/>
  <c r="J74" i="4"/>
  <c r="I74" i="4"/>
  <c r="H74" i="4"/>
  <c r="G74" i="4"/>
  <c r="L73" i="4"/>
  <c r="K73" i="4"/>
  <c r="J73" i="4"/>
  <c r="I73" i="4"/>
  <c r="H73" i="4"/>
  <c r="G73" i="4"/>
  <c r="L72" i="4"/>
  <c r="K72" i="4"/>
  <c r="J72" i="4"/>
  <c r="I72" i="4"/>
  <c r="H72" i="4"/>
  <c r="G72" i="4"/>
  <c r="L71" i="4"/>
  <c r="K71" i="4"/>
  <c r="J71" i="4"/>
  <c r="I71" i="4"/>
  <c r="H71" i="4"/>
  <c r="G71" i="4"/>
  <c r="L68" i="4"/>
  <c r="J68" i="4"/>
  <c r="I68" i="4"/>
  <c r="I81" i="4" s="1"/>
  <c r="H68" i="4"/>
  <c r="H81" i="4" s="1"/>
  <c r="G68" i="4"/>
  <c r="L55" i="4"/>
  <c r="K55" i="4"/>
  <c r="K81" i="4" s="1"/>
  <c r="J55" i="4"/>
  <c r="I55" i="4"/>
  <c r="H55" i="4"/>
  <c r="G55" i="4"/>
  <c r="L18" i="1"/>
  <c r="K18" i="1"/>
  <c r="J18" i="1"/>
  <c r="J21" i="1" s="1"/>
  <c r="J24" i="1" s="1"/>
  <c r="J26" i="1" s="1"/>
  <c r="I18" i="1"/>
  <c r="I21" i="1" s="1"/>
  <c r="I24" i="1" s="1"/>
  <c r="I26" i="1" s="1"/>
  <c r="H18" i="1"/>
  <c r="G18" i="1"/>
  <c r="L8" i="1"/>
  <c r="K8" i="1"/>
  <c r="J8" i="1"/>
  <c r="I8" i="1"/>
  <c r="I15" i="1"/>
  <c r="H8" i="1"/>
  <c r="H15" i="1" s="1"/>
  <c r="H21" i="1" s="1"/>
  <c r="H24" i="1" s="1"/>
  <c r="H26" i="1" s="1"/>
  <c r="G8" i="1"/>
  <c r="L5" i="1"/>
  <c r="K5" i="1"/>
  <c r="K38" i="1" s="1"/>
  <c r="J5" i="1"/>
  <c r="J15" i="1"/>
  <c r="I5" i="1"/>
  <c r="H5" i="1"/>
  <c r="G5" i="1"/>
  <c r="G15" i="1" s="1"/>
  <c r="G21" i="1" s="1"/>
  <c r="G24" i="1" s="1"/>
  <c r="G26" i="1" s="1"/>
  <c r="J48" i="3"/>
  <c r="E34" i="2"/>
  <c r="C34" i="2"/>
  <c r="C35" i="2" s="1"/>
  <c r="F32" i="2"/>
  <c r="F34" i="2" s="1"/>
  <c r="F35" i="2" s="1"/>
  <c r="D32" i="2"/>
  <c r="D34" i="2"/>
  <c r="D35" i="2" s="1"/>
  <c r="F26" i="2"/>
  <c r="E26" i="2"/>
  <c r="E35" i="2"/>
  <c r="D26" i="2"/>
  <c r="C26" i="2"/>
  <c r="F13" i="2"/>
  <c r="E13" i="2"/>
  <c r="D13" i="2"/>
  <c r="C13" i="2"/>
  <c r="F80" i="4"/>
  <c r="E80" i="4"/>
  <c r="D80" i="4"/>
  <c r="C80" i="4"/>
  <c r="F79" i="4"/>
  <c r="E79" i="4"/>
  <c r="D79" i="4"/>
  <c r="C79" i="4"/>
  <c r="F78" i="4"/>
  <c r="E78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F73" i="4"/>
  <c r="E73" i="4"/>
  <c r="D73" i="4"/>
  <c r="C73" i="4"/>
  <c r="F72" i="4"/>
  <c r="E72" i="4"/>
  <c r="D72" i="4"/>
  <c r="C72" i="4"/>
  <c r="F71" i="4"/>
  <c r="E71" i="4"/>
  <c r="D71" i="4"/>
  <c r="C71" i="4"/>
  <c r="F68" i="4"/>
  <c r="E68" i="4"/>
  <c r="D68" i="4"/>
  <c r="C68" i="4"/>
  <c r="C81" i="4" s="1"/>
  <c r="F55" i="4"/>
  <c r="F81" i="4" s="1"/>
  <c r="E55" i="4"/>
  <c r="D55" i="4"/>
  <c r="C55" i="4"/>
  <c r="F18" i="1"/>
  <c r="E18" i="1"/>
  <c r="E21" i="1" s="1"/>
  <c r="E24" i="1" s="1"/>
  <c r="E26" i="1" s="1"/>
  <c r="D18" i="1"/>
  <c r="D21" i="1" s="1"/>
  <c r="D24" i="1" s="1"/>
  <c r="D26" i="1" s="1"/>
  <c r="C18" i="1"/>
  <c r="F8" i="1"/>
  <c r="F15" i="1" s="1"/>
  <c r="F21" i="1" s="1"/>
  <c r="F24" i="1" s="1"/>
  <c r="F26" i="1" s="1"/>
  <c r="E8" i="1"/>
  <c r="E15" i="1" s="1"/>
  <c r="D8" i="1"/>
  <c r="C8" i="1"/>
  <c r="F5" i="1"/>
  <c r="E5" i="1"/>
  <c r="D5" i="1"/>
  <c r="C5" i="1"/>
  <c r="C15" i="1" s="1"/>
  <c r="C21" i="1" s="1"/>
  <c r="C24" i="1" s="1"/>
  <c r="C26" i="1" s="1"/>
  <c r="F27" i="3"/>
  <c r="E27" i="3"/>
  <c r="D27" i="3"/>
  <c r="C27" i="3"/>
  <c r="F24" i="3"/>
  <c r="E24" i="3"/>
  <c r="D24" i="3"/>
  <c r="C24" i="3"/>
  <c r="I48" i="3"/>
  <c r="H48" i="3"/>
  <c r="G48" i="3"/>
  <c r="F48" i="3"/>
  <c r="E48" i="3"/>
  <c r="D48" i="3"/>
  <c r="C48" i="3"/>
  <c r="D15" i="1"/>
  <c r="L15" i="1"/>
  <c r="K15" i="1"/>
  <c r="K21" i="1"/>
  <c r="K24" i="1" s="1"/>
  <c r="K26" i="1" s="1"/>
  <c r="N15" i="1"/>
  <c r="N21" i="1" s="1"/>
  <c r="N24" i="1" s="1"/>
  <c r="N26" i="1" s="1"/>
  <c r="N28" i="1" s="1"/>
  <c r="N31" i="1" s="1"/>
  <c r="L21" i="1"/>
  <c r="L24" i="1"/>
  <c r="L26" i="1"/>
  <c r="M15" i="1"/>
  <c r="AI38" i="1"/>
  <c r="O30" i="4"/>
  <c r="G6" i="6"/>
  <c r="G9" i="6"/>
  <c r="G21" i="6"/>
  <c r="T33" i="4"/>
  <c r="T30" i="4"/>
  <c r="M81" i="4"/>
  <c r="T38" i="4"/>
  <c r="P81" i="4"/>
  <c r="R81" i="4"/>
  <c r="U31" i="4"/>
  <c r="S27" i="3"/>
  <c r="Y27" i="3"/>
  <c r="T27" i="3"/>
  <c r="Z21" i="3"/>
  <c r="Y21" i="3"/>
  <c r="X21" i="3"/>
  <c r="U25" i="3"/>
  <c r="U28" i="3"/>
  <c r="U27" i="3" s="1"/>
  <c r="Z28" i="3"/>
  <c r="X12" i="3"/>
  <c r="U6" i="3"/>
  <c r="U12" i="3" s="1"/>
  <c r="Z25" i="3"/>
  <c r="Z24" i="3" s="1"/>
  <c r="S21" i="3"/>
  <c r="Q21" i="1" l="1"/>
  <c r="Q24" i="1" s="1"/>
  <c r="Q26" i="1" s="1"/>
  <c r="Q28" i="1" s="1"/>
  <c r="Q31" i="1" s="1"/>
  <c r="Q30" i="3"/>
  <c r="U32" i="4"/>
  <c r="O40" i="4"/>
  <c r="T5" i="5"/>
  <c r="U34" i="4"/>
  <c r="W5" i="5"/>
  <c r="W18" i="5" s="1"/>
  <c r="T31" i="4"/>
  <c r="T40" i="4" s="1"/>
  <c r="Q5" i="5"/>
  <c r="U30" i="4"/>
  <c r="V30" i="4"/>
  <c r="V37" i="4"/>
  <c r="D81" i="4"/>
  <c r="E81" i="4"/>
  <c r="U27" i="4"/>
  <c r="T81" i="4"/>
  <c r="U81" i="4"/>
  <c r="L81" i="4"/>
  <c r="G81" i="4"/>
  <c r="N81" i="4"/>
  <c r="S81" i="4"/>
  <c r="J81" i="4"/>
  <c r="M40" i="4"/>
  <c r="Q40" i="4"/>
  <c r="R40" i="4"/>
  <c r="N40" i="4"/>
  <c r="J9" i="6"/>
  <c r="J21" i="6"/>
  <c r="C18" i="6"/>
  <c r="C28" i="6" s="1"/>
  <c r="C31" i="6" s="1"/>
  <c r="C33" i="6" s="1"/>
  <c r="N4" i="6"/>
  <c r="N6" i="6" s="1"/>
  <c r="I6" i="6"/>
  <c r="N13" i="6"/>
  <c r="L9" i="6"/>
  <c r="L13" i="6"/>
  <c r="D56" i="6"/>
  <c r="D66" i="6" s="1"/>
  <c r="D69" i="6" s="1"/>
  <c r="D71" i="6" s="1"/>
  <c r="D73" i="6" s="1"/>
  <c r="D76" i="6" s="1"/>
  <c r="E21" i="6"/>
  <c r="H9" i="6"/>
  <c r="F56" i="6"/>
  <c r="F66" i="6" s="1"/>
  <c r="F69" i="6" s="1"/>
  <c r="F71" i="6" s="1"/>
  <c r="F73" i="6" s="1"/>
  <c r="F76" i="6" s="1"/>
  <c r="F6" i="6"/>
  <c r="M9" i="6"/>
  <c r="D21" i="6"/>
  <c r="H13" i="6"/>
  <c r="I9" i="6"/>
  <c r="M21" i="6"/>
  <c r="G18" i="6"/>
  <c r="G28" i="6" s="1"/>
  <c r="G31" i="6" s="1"/>
  <c r="G33" i="6" s="1"/>
  <c r="K9" i="6"/>
  <c r="K21" i="6"/>
  <c r="M12" i="6"/>
  <c r="E56" i="6"/>
  <c r="E66" i="6" s="1"/>
  <c r="E69" i="6" s="1"/>
  <c r="E71" i="6" s="1"/>
  <c r="E73" i="6" s="1"/>
  <c r="J6" i="6"/>
  <c r="N21" i="6"/>
  <c r="M4" i="6"/>
  <c r="M6" i="6" s="1"/>
  <c r="D6" i="6"/>
  <c r="D9" i="6"/>
  <c r="J56" i="6"/>
  <c r="J66" i="6" s="1"/>
  <c r="J69" i="6" s="1"/>
  <c r="J71" i="6" s="1"/>
  <c r="J73" i="6" s="1"/>
  <c r="J76" i="6" s="1"/>
  <c r="F9" i="6"/>
  <c r="F18" i="6" s="1"/>
  <c r="K13" i="6"/>
  <c r="E6" i="6"/>
  <c r="M56" i="6"/>
  <c r="E9" i="6"/>
  <c r="L4" i="6"/>
  <c r="L6" i="6" s="1"/>
  <c r="L56" i="6"/>
  <c r="F21" i="6"/>
  <c r="K56" i="6"/>
  <c r="H6" i="6"/>
  <c r="I21" i="6"/>
  <c r="H56" i="6"/>
  <c r="H66" i="6" s="1"/>
  <c r="H69" i="6" s="1"/>
  <c r="H71" i="6" s="1"/>
  <c r="H73" i="6" s="1"/>
  <c r="M13" i="6"/>
  <c r="N9" i="6"/>
  <c r="N12" i="6"/>
  <c r="I13" i="6"/>
  <c r="H21" i="6"/>
  <c r="J13" i="6"/>
  <c r="I56" i="6"/>
  <c r="I66" i="6" s="1"/>
  <c r="I69" i="6" s="1"/>
  <c r="I71" i="6" s="1"/>
  <c r="I73" i="6" s="1"/>
  <c r="C56" i="6"/>
  <c r="C66" i="6" s="1"/>
  <c r="C69" i="6" s="1"/>
  <c r="C71" i="6" s="1"/>
  <c r="G56" i="6"/>
  <c r="G66" i="6" s="1"/>
  <c r="G69" i="6" s="1"/>
  <c r="G71" i="6" s="1"/>
  <c r="G73" i="6" s="1"/>
  <c r="G76" i="6" s="1"/>
  <c r="L12" i="6"/>
  <c r="N56" i="6"/>
  <c r="V81" i="4"/>
  <c r="V40" i="4"/>
  <c r="S18" i="5"/>
  <c r="U5" i="5"/>
  <c r="U18" i="5" s="1"/>
  <c r="O5" i="5"/>
  <c r="P5" i="5"/>
  <c r="P18" i="5" s="1"/>
  <c r="R5" i="5"/>
  <c r="R18" i="5" s="1"/>
  <c r="Q18" i="5"/>
  <c r="O18" i="5"/>
  <c r="T18" i="5"/>
  <c r="V27" i="3"/>
  <c r="K30" i="3"/>
  <c r="G30" i="3"/>
  <c r="W12" i="3"/>
  <c r="Y30" i="3"/>
  <c r="U24" i="3"/>
  <c r="U30" i="3" s="1"/>
  <c r="U37" i="3" s="1"/>
  <c r="T21" i="3"/>
  <c r="X27" i="3"/>
  <c r="Y12" i="3"/>
  <c r="S12" i="3"/>
  <c r="T27" i="4"/>
  <c r="V14" i="4"/>
  <c r="U38" i="4"/>
  <c r="U40" i="4" s="1"/>
  <c r="T14" i="4"/>
  <c r="F30" i="3"/>
  <c r="I30" i="3"/>
  <c r="L30" i="3"/>
  <c r="U21" i="3"/>
  <c r="X24" i="3"/>
  <c r="V24" i="3"/>
  <c r="V30" i="3" s="1"/>
  <c r="V37" i="3" s="1"/>
  <c r="W27" i="3"/>
  <c r="W30" i="3" s="1"/>
  <c r="W37" i="3" s="1"/>
  <c r="T24" i="3"/>
  <c r="T30" i="3" s="1"/>
  <c r="T37" i="3" s="1"/>
  <c r="R30" i="3"/>
  <c r="Z27" i="3"/>
  <c r="Z30" i="3" s="1"/>
  <c r="Z37" i="3" s="1"/>
  <c r="S24" i="3"/>
  <c r="S30" i="3" s="1"/>
  <c r="S37" i="3" s="1"/>
  <c r="F35" i="6" l="1"/>
  <c r="D18" i="6"/>
  <c r="L66" i="6"/>
  <c r="L69" i="6" s="1"/>
  <c r="L71" i="6" s="1"/>
  <c r="L73" i="6" s="1"/>
  <c r="D28" i="6"/>
  <c r="D31" i="6" s="1"/>
  <c r="D33" i="6" s="1"/>
  <c r="M18" i="6"/>
  <c r="M28" i="6" s="1"/>
  <c r="M31" i="6" s="1"/>
  <c r="M33" i="6" s="1"/>
  <c r="H18" i="6"/>
  <c r="H28" i="6" s="1"/>
  <c r="H31" i="6" s="1"/>
  <c r="H33" i="6" s="1"/>
  <c r="D35" i="6"/>
  <c r="E35" i="6"/>
  <c r="E18" i="6"/>
  <c r="E28" i="6" s="1"/>
  <c r="E31" i="6" s="1"/>
  <c r="E33" i="6" s="1"/>
  <c r="E76" i="6"/>
  <c r="I18" i="6"/>
  <c r="I28" i="6" s="1"/>
  <c r="I31" i="6" s="1"/>
  <c r="I33" i="6" s="1"/>
  <c r="N18" i="6"/>
  <c r="N28" i="6" s="1"/>
  <c r="N31" i="6" s="1"/>
  <c r="N33" i="6" s="1"/>
  <c r="K18" i="6"/>
  <c r="K28" i="6" s="1"/>
  <c r="K31" i="6" s="1"/>
  <c r="K33" i="6" s="1"/>
  <c r="J18" i="6"/>
  <c r="J28" i="6" s="1"/>
  <c r="J31" i="6" s="1"/>
  <c r="J33" i="6" s="1"/>
  <c r="H35" i="6"/>
  <c r="H76" i="6"/>
  <c r="I76" i="6"/>
  <c r="I35" i="6"/>
  <c r="N66" i="6"/>
  <c r="N69" i="6" s="1"/>
  <c r="N71" i="6" s="1"/>
  <c r="N73" i="6" s="1"/>
  <c r="N76" i="6" s="1"/>
  <c r="L76" i="6"/>
  <c r="L18" i="6"/>
  <c r="L28" i="6" s="1"/>
  <c r="L31" i="6" s="1"/>
  <c r="L33" i="6" s="1"/>
  <c r="J35" i="6"/>
  <c r="M66" i="6"/>
  <c r="M69" i="6" s="1"/>
  <c r="M71" i="6" s="1"/>
  <c r="M73" i="6" s="1"/>
  <c r="K66" i="6"/>
  <c r="K69" i="6" s="1"/>
  <c r="K71" i="6" s="1"/>
  <c r="K73" i="6" s="1"/>
  <c r="F28" i="6"/>
  <c r="F31" i="6" s="1"/>
  <c r="F33" i="6" s="1"/>
  <c r="X30" i="3"/>
  <c r="Y37" i="3"/>
  <c r="N35" i="6" l="1"/>
  <c r="K35" i="6"/>
  <c r="K76" i="6"/>
  <c r="L35" i="6"/>
  <c r="M35" i="6"/>
  <c r="M7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MISKOW MAREK</author>
  </authors>
  <commentList>
    <comment ref="AJ36" authorId="0" shapeId="0" xr:uid="{A62D1C29-7890-4F40-A4AE-5EE5F156BFF8}">
      <text>
        <r>
          <rPr>
            <b/>
            <sz val="9"/>
            <color indexed="81"/>
            <rFont val="Tahoma"/>
            <charset val="1"/>
          </rPr>
          <t>Including PLN251.7m of protection scheme cost</t>
        </r>
      </text>
    </comment>
  </commentList>
</comments>
</file>

<file path=xl/sharedStrings.xml><?xml version="1.0" encoding="utf-8"?>
<sst xmlns="http://schemas.openxmlformats.org/spreadsheetml/2006/main" count="1799" uniqueCount="652">
  <si>
    <t>Interest expense</t>
  </si>
  <si>
    <t>Fee and commission income</t>
  </si>
  <si>
    <t>Fee and commission expense</t>
  </si>
  <si>
    <t>Net fee and commission income</t>
  </si>
  <si>
    <t>Dividend income</t>
  </si>
  <si>
    <t>Result on investment financial assets</t>
  </si>
  <si>
    <t>Other operating income</t>
  </si>
  <si>
    <t>General and administrative expenses</t>
  </si>
  <si>
    <t>Impairment losses on financial assets</t>
  </si>
  <si>
    <t>Impairment losses on non-financial assets</t>
  </si>
  <si>
    <t>Depreciation and amortization</t>
  </si>
  <si>
    <t>Other operating expenses</t>
  </si>
  <si>
    <t>Operating profit</t>
  </si>
  <si>
    <t>Share of profit of associates</t>
  </si>
  <si>
    <t>Profit / (loss) before taxes</t>
  </si>
  <si>
    <t>Corporate income tax</t>
  </si>
  <si>
    <t>Profit / (loss) after taxes</t>
  </si>
  <si>
    <t>Attributable to:</t>
  </si>
  <si>
    <t>Owners of the parent</t>
  </si>
  <si>
    <t>Non-controlling interests</t>
  </si>
  <si>
    <t>Weighted average number of ordinary shares</t>
  </si>
  <si>
    <t>Earnings (losses) per ordinary share (in PLN)</t>
  </si>
  <si>
    <t>Foreign exchange result</t>
  </si>
  <si>
    <t>PLN '000</t>
  </si>
  <si>
    <t>PROFIT &amp; LOSS ACCOUNT - QUARTERLY</t>
  </si>
  <si>
    <t>Interest income*</t>
  </si>
  <si>
    <t>Net interest income*</t>
  </si>
  <si>
    <t>Operating income**</t>
  </si>
  <si>
    <t>Operating expenses***</t>
  </si>
  <si>
    <t>*** without impairment losses on financial and non-fiancial assets</t>
  </si>
  <si>
    <t>** including other operating expenses</t>
  </si>
  <si>
    <t>Cash, balances with the Central Bank</t>
  </si>
  <si>
    <t>Loans and advances to banks</t>
  </si>
  <si>
    <t>Financial assets valued at fair value through profit and loss (held for trading) and adjustment from fair value hedge</t>
  </si>
  <si>
    <t>Hedging derivatives</t>
  </si>
  <si>
    <t>Loans and advances to customers</t>
  </si>
  <si>
    <t>Investment financial assets</t>
  </si>
  <si>
    <t>Investments in associates</t>
  </si>
  <si>
    <t>Receivables from securities bought with sell-back clause (loans and advances)</t>
  </si>
  <si>
    <t>Other assets</t>
  </si>
  <si>
    <t>Total Assets</t>
  </si>
  <si>
    <t>Property, plant and equipment and intangible assets</t>
  </si>
  <si>
    <t>Deposits from banks</t>
  </si>
  <si>
    <t>Deposits from customers</t>
  </si>
  <si>
    <t>Liabilities from securities sold with buy-back clause</t>
  </si>
  <si>
    <t>Debt securities</t>
  </si>
  <si>
    <t xml:space="preserve">Provisions </t>
  </si>
  <si>
    <t>Other liabilities</t>
  </si>
  <si>
    <t>Subordinated debt</t>
  </si>
  <si>
    <t>Total Liabilities</t>
  </si>
  <si>
    <t>EQUITY</t>
  </si>
  <si>
    <t>Share capital</t>
  </si>
  <si>
    <t>Share premium</t>
  </si>
  <si>
    <t>Revaluation reserve</t>
  </si>
  <si>
    <t>Retained earnings</t>
  </si>
  <si>
    <t>Total equity attributable to owners of the parent</t>
  </si>
  <si>
    <t>Total Equity</t>
  </si>
  <si>
    <t>Total Liabilities and Equity</t>
  </si>
  <si>
    <t>FEES &amp; COMMISSIONS - QUARTERLY</t>
  </si>
  <si>
    <t>Resulting from accounts service</t>
  </si>
  <si>
    <t>Resulting from loans granted</t>
  </si>
  <si>
    <t>Resulting from guarantees and sureties granted</t>
  </si>
  <si>
    <t>Resulting from payment and credit cards</t>
  </si>
  <si>
    <t>Resulting from sale of insurance products</t>
  </si>
  <si>
    <t>Resulting from distribution of investment funds units and other savings products</t>
  </si>
  <si>
    <t>Resulting from brokerage and custody service</t>
  </si>
  <si>
    <t>Resulting from investment funds managed by the Group</t>
  </si>
  <si>
    <t>Other</t>
  </si>
  <si>
    <t>Total</t>
  </si>
  <si>
    <t>Resulting from money transfers, cash payments and withdrawals and other payment transactions</t>
  </si>
  <si>
    <t>Costs of advertising, promotion and representation</t>
  </si>
  <si>
    <t>Costs of renting</t>
  </si>
  <si>
    <t>Costs of buildings maintenance, equipment and materials</t>
  </si>
  <si>
    <t>ATM and cash costs</t>
  </si>
  <si>
    <t xml:space="preserve">Costs of consultancy, audit and legal advisory and translation </t>
  </si>
  <si>
    <t xml:space="preserve">Taxes and fees </t>
  </si>
  <si>
    <t>KIR clearing charges</t>
  </si>
  <si>
    <t>PFRON costs</t>
  </si>
  <si>
    <t>Banking Guarantee Fund costs</t>
  </si>
  <si>
    <t>Financial Supervision costs</t>
  </si>
  <si>
    <t>General administrative costs:</t>
  </si>
  <si>
    <t>* pro-forma data: interest on swaps are presented in Net Interest Income whereas in formal reporting it is presented under Result on Financial Instruments</t>
  </si>
  <si>
    <t>Deposits</t>
  </si>
  <si>
    <t xml:space="preserve"> - retail</t>
  </si>
  <si>
    <t xml:space="preserve"> - including leasing</t>
  </si>
  <si>
    <t xml:space="preserve"> - including mortgage</t>
  </si>
  <si>
    <t xml:space="preserve"> - other retail</t>
  </si>
  <si>
    <t>TOTAL NET LOANS</t>
  </si>
  <si>
    <t>TOTAL GROSS LOANS</t>
  </si>
  <si>
    <t>Retail</t>
  </si>
  <si>
    <t>Staff costs</t>
  </si>
  <si>
    <t>CUSTOMER DEPOSITS</t>
  </si>
  <si>
    <t xml:space="preserve">W tym przypadający na: </t>
  </si>
  <si>
    <t xml:space="preserve">Akcjonariuszy jednostki dominującej </t>
  </si>
  <si>
    <t>Akcjonariuszy mniejszościowych</t>
  </si>
  <si>
    <t>Średnia ważona liczba akcji zwykłych</t>
  </si>
  <si>
    <t>Zysk (strata) na jedną akcję zwykłą (w zł)</t>
  </si>
  <si>
    <t>Koszty z tytułu odsetek</t>
  </si>
  <si>
    <t>Wynik z tytułu odsetek*</t>
  </si>
  <si>
    <t>Przychody z tytułu prowizji</t>
  </si>
  <si>
    <t xml:space="preserve">Koszty z tytułu opłat i prowizji </t>
  </si>
  <si>
    <t xml:space="preserve">Wynik z tytułu prowizji </t>
  </si>
  <si>
    <t xml:space="preserve">Przychody z tytułu dywidend </t>
  </si>
  <si>
    <t>Wynik z inwestycyjnych aktywów finansowych</t>
  </si>
  <si>
    <t>Wynik z pozycji wymiany</t>
  </si>
  <si>
    <t xml:space="preserve">Pozostałe przychody operacyjne </t>
  </si>
  <si>
    <t xml:space="preserve">Pozostałe koszty operacyjne </t>
  </si>
  <si>
    <t xml:space="preserve">Koszty działania  </t>
  </si>
  <si>
    <t xml:space="preserve">Amortyzacja </t>
  </si>
  <si>
    <t>Przychody operacyjne**</t>
  </si>
  <si>
    <t>Koszty operacyjne ***</t>
  </si>
  <si>
    <t>Koszty z tytułu utraty wartości aktywów finansowych</t>
  </si>
  <si>
    <t>Koszty z tytułu utraty wartości aktywów niefinansowych</t>
  </si>
  <si>
    <t xml:space="preserve">Wynik na działalności operacyjnej </t>
  </si>
  <si>
    <t>Udział w zyskach jednostek podporządkowanych</t>
  </si>
  <si>
    <t>Wynik finansowy przed opodatkowaniem</t>
  </si>
  <si>
    <t>Wynik finansowy po opodatkowaniu</t>
  </si>
  <si>
    <t>Podatek dochodowy</t>
  </si>
  <si>
    <t xml:space="preserve">Kasa, środki w banku centralnym </t>
  </si>
  <si>
    <t xml:space="preserve">Lokaty w innych bankach oraz kredyty i pożyczki udzielone innym bankom </t>
  </si>
  <si>
    <t>Instrumenty pochodne zabezpieczające</t>
  </si>
  <si>
    <t xml:space="preserve">Kredyty i pożyczki udzielone klientom </t>
  </si>
  <si>
    <t>Inwestycyjne aktywa finansowe</t>
  </si>
  <si>
    <t>Inwestycje w jednostki podporządkowane</t>
  </si>
  <si>
    <t xml:space="preserve">Należności z tytułu zakupionych papierów wartościowych z przyrzeczeniem odkupu </t>
  </si>
  <si>
    <t>Rzeczowe aktywa trwałe i wartości niematerialne</t>
  </si>
  <si>
    <t xml:space="preserve">Pozostałe aktywa </t>
  </si>
  <si>
    <t>A k t y w a   r a z e m</t>
  </si>
  <si>
    <t>Zobowiązania wobec banków</t>
  </si>
  <si>
    <t>Zobowiązania wobec klientów</t>
  </si>
  <si>
    <t>Zobowiązania z tytułu sprzedanych papierów wartościowych z udzielonym przyrzeczeniem odkupu</t>
  </si>
  <si>
    <t>Zobowiązania z tytułu emisji dłużnych papierów wartościowych</t>
  </si>
  <si>
    <t xml:space="preserve">Rezerwy </t>
  </si>
  <si>
    <t xml:space="preserve">Pozostałe zobowiązania </t>
  </si>
  <si>
    <t xml:space="preserve">Zobowiązania podporządkowane </t>
  </si>
  <si>
    <t xml:space="preserve">Zobowiązania ogółem </t>
  </si>
  <si>
    <t xml:space="preserve">KAPITAŁY </t>
  </si>
  <si>
    <t xml:space="preserve">Kapitał zakładowy </t>
  </si>
  <si>
    <t>Kapitał ze sprzedaży akcji powyżej wart. nominalnej</t>
  </si>
  <si>
    <t>Kapitał z aktualizacji wyceny</t>
  </si>
  <si>
    <t>Zyski zatrzymane</t>
  </si>
  <si>
    <t>Kapitał własny przypadający na akcjonariuszy jednostki dominującej</t>
  </si>
  <si>
    <t>Kapitał własny akcjonariuszy mniejszościowych</t>
  </si>
  <si>
    <t>Kapitały razem</t>
  </si>
  <si>
    <t>P a s y w a   r a z e m</t>
  </si>
  <si>
    <t>Result on financial instruments valued at fair value through P&amp;L (held for trading) *</t>
  </si>
  <si>
    <t>Prowizje za prowadzenie rachunków</t>
  </si>
  <si>
    <t>Prowizje za realizację przelewów, wpłat i wypłat gotówkowych oraz inne transakcje płatnicze</t>
  </si>
  <si>
    <t>Prowizje z tytułu udzielonych kredytów i pożyczek</t>
  </si>
  <si>
    <t>Prowizje z tytułu udzielonych gwarancji i poręczeń</t>
  </si>
  <si>
    <t>Prowizje za obsługę kart płatniczych i kredytowych</t>
  </si>
  <si>
    <t>Prowizje z tytułu sprzedaży produktów ubezpieczeniowych</t>
  </si>
  <si>
    <t>Prowizje z tytułu dystrybucji jednostek uczestnictwa i innych produktów oszczędnościowych</t>
  </si>
  <si>
    <t>Prowizje z tytułu działalności maklerskiej i powierniczej</t>
  </si>
  <si>
    <t xml:space="preserve">Prowizje z tytułu funduszy inwestycyjnych zarządzanych przez Grupę </t>
  </si>
  <si>
    <t>Pozostałe prowizje</t>
  </si>
  <si>
    <t>Razem:</t>
  </si>
  <si>
    <t>Prowizje z tytułu funduszy inwestycyjnych zarządzanych przez Grupę</t>
  </si>
  <si>
    <t>Koszty pracownicze</t>
  </si>
  <si>
    <t>Koszty reklamy, promocji i reprezentacji</t>
  </si>
  <si>
    <t>Koszty wynajmu</t>
  </si>
  <si>
    <t>Koszty utrzymania budynków, wyposażenia, materiałów</t>
  </si>
  <si>
    <t>Koszty bankomatów i obsługi gotówki</t>
  </si>
  <si>
    <t>Koszty usług doradczych, audytowych, prawniczych, tłumaczeń</t>
  </si>
  <si>
    <t>Podatki i opłaty różne</t>
  </si>
  <si>
    <t>Koszty KIR</t>
  </si>
  <si>
    <t>Koszty PFRON</t>
  </si>
  <si>
    <t>Koszty Nadzoru Finansowego</t>
  </si>
  <si>
    <t>Pozostałe</t>
  </si>
  <si>
    <t>Wynik z tytułu prowizji i opłat   tys.zł</t>
  </si>
  <si>
    <t>Przychody z tytułu prowizji i opłat   tys.zł</t>
  </si>
  <si>
    <t>Koszty z tytułu prowizji   tys.zł</t>
  </si>
  <si>
    <t>tys. zł</t>
  </si>
  <si>
    <t>Koszty ogólno - administracyjne:</t>
  </si>
  <si>
    <t>DEPOZYTY KLIENTÓW</t>
  </si>
  <si>
    <t>Depozyty</t>
  </si>
  <si>
    <t xml:space="preserve"> - detaliczne</t>
  </si>
  <si>
    <t xml:space="preserve"> - przedsiebiorstwa i sektor publiczny</t>
  </si>
  <si>
    <t>Detaliczne</t>
  </si>
  <si>
    <t xml:space="preserve"> - w tym hipoteczne</t>
  </si>
  <si>
    <t xml:space="preserve"> - pozostałe detaliczne</t>
  </si>
  <si>
    <t>Dla przedsiębiorstw</t>
  </si>
  <si>
    <t xml:space="preserve"> - w tym leasing</t>
  </si>
  <si>
    <t xml:space="preserve"> - pozostałe dla przedsiębiorstw</t>
  </si>
  <si>
    <t>Kredyty netto razem</t>
  </si>
  <si>
    <t>Kredyty brutto razem</t>
  </si>
  <si>
    <t xml:space="preserve">PROFIT &amp; LOSS ACCOUNT - YEAR TO DATE </t>
  </si>
  <si>
    <t xml:space="preserve">FEES &amp; COMMISSIONS - YEAR TO DATE </t>
  </si>
  <si>
    <t>BALANCE SHEET</t>
  </si>
  <si>
    <t>1.01.2014 -31.03.2014</t>
  </si>
  <si>
    <t>31.03.2014</t>
  </si>
  <si>
    <t>1.04.2014 -30.06.2014</t>
  </si>
  <si>
    <t>1.01.2014 -30.06.2014</t>
  </si>
  <si>
    <t>30.06.2014</t>
  </si>
  <si>
    <t>Koszty informatyki i łączności</t>
  </si>
  <si>
    <t>IT and communication costs</t>
  </si>
  <si>
    <t>1.01.2014 -30.09.2014</t>
  </si>
  <si>
    <t>1.07.2014 -30.09.2014</t>
  </si>
  <si>
    <t>30.09.2014</t>
  </si>
  <si>
    <t>Mortgage loans</t>
  </si>
  <si>
    <t>Cash loans</t>
  </si>
  <si>
    <t>New assets leased</t>
  </si>
  <si>
    <t>Factoring turnover</t>
  </si>
  <si>
    <t>ASSETS (PLN'000)</t>
  </si>
  <si>
    <t>A K T Y W A (tys. zł)</t>
  </si>
  <si>
    <t>LIABILITIES (PLN'000)</t>
  </si>
  <si>
    <t>PA S Y W A (tys. zł)</t>
  </si>
  <si>
    <t>Wynik z instr. finansowych wycenianych do wartości godziwej przez RZiS (przeznaczone do obrotu) *</t>
  </si>
  <si>
    <t>NEW LOANS DISBURSEMENT (quarterly)</t>
  </si>
  <si>
    <t>Kredyty hipoteczne</t>
  </si>
  <si>
    <t>Kredyty gotówkowe</t>
  </si>
  <si>
    <t>Aktywa oddane w leasing</t>
  </si>
  <si>
    <t>Obroty faktoringowe</t>
  </si>
  <si>
    <t>WYPŁATY NOWYCH KREDYTÓW (kwartalnie)</t>
  </si>
  <si>
    <t>31.12.2014</t>
  </si>
  <si>
    <t>1.10.2014 -31.12.2014</t>
  </si>
  <si>
    <t>1.01.2014 -31.12.2014</t>
  </si>
  <si>
    <t>GENERAL AND ADMINISTRATIVE EXPENSES* - YEAR TO DATE</t>
  </si>
  <si>
    <t>* without depreciation</t>
  </si>
  <si>
    <t>1.01.2015 -31.03.2015</t>
  </si>
  <si>
    <t>31.03.2015</t>
  </si>
  <si>
    <t>Employment (FTE)</t>
  </si>
  <si>
    <t>Number of branches</t>
  </si>
  <si>
    <t>Zatrudnienie (etaty)</t>
  </si>
  <si>
    <t>Liczba oddziałów</t>
  </si>
  <si>
    <t xml:space="preserve"> - companies &amp; public</t>
  </si>
  <si>
    <t>Companies</t>
  </si>
  <si>
    <t xml:space="preserve"> - other loans to companies</t>
  </si>
  <si>
    <t>OTHER CUSTOMER FUNDS</t>
  </si>
  <si>
    <t>POZOSTAŁE ŚRODKI KLIENTÓW</t>
  </si>
  <si>
    <t>Investment products</t>
  </si>
  <si>
    <t>Produkty inwestycyjne</t>
  </si>
  <si>
    <t xml:space="preserve"> - Millennium TFI funds</t>
  </si>
  <si>
    <t xml:space="preserve"> - fundusze Millennium TFI </t>
  </si>
  <si>
    <t xml:space="preserve"> - Third party funds and other products</t>
  </si>
  <si>
    <t xml:space="preserve"> - fundusze podmiotów zewnętrznych i inne produkty </t>
  </si>
  <si>
    <t>30.06.2015</t>
  </si>
  <si>
    <t>1.04.2015 -30.06.2015</t>
  </si>
  <si>
    <t>1.01.2015 -30.06.2015</t>
  </si>
  <si>
    <t>1.01.2015 -30.09.2015</t>
  </si>
  <si>
    <t>1.07.2015 -30.09.2015</t>
  </si>
  <si>
    <t>30.09.2015</t>
  </si>
  <si>
    <t>1.01.2015 -31.12.2015</t>
  </si>
  <si>
    <t>1.10.2015 -31.12.2015</t>
  </si>
  <si>
    <t>31.12.2015</t>
  </si>
  <si>
    <t>1.01.2016 -31.03.2016</t>
  </si>
  <si>
    <t>31.03.2016</t>
  </si>
  <si>
    <t>Banking tax</t>
  </si>
  <si>
    <t>Podatek bankowy</t>
  </si>
  <si>
    <t>Aktywa finansowe wyceniane do wartości godziwej przez rachunek zysków i strat (przeznaczone do obrotu) oraz korekta z tytułu rachunkowości zabezpieczeń wartości godziwej</t>
  </si>
  <si>
    <t>Zobowiązania finansowe wyceniane do wartości godziwej przez rachunek zysków i strat (przeznaczone do obrotu) oraz korekta z tytułu rachunkowości zabezpieczeń wartości godziwej</t>
  </si>
  <si>
    <t>Financial liabilities valued at fair value through profit and loss (held for trading) and adjustment from fair value hedge</t>
  </si>
  <si>
    <t>1.01.2016 -30.06.2016</t>
  </si>
  <si>
    <t>1.04.2016 -30.06.2016</t>
  </si>
  <si>
    <t>30.06.2016</t>
  </si>
  <si>
    <t>30.09.2016</t>
  </si>
  <si>
    <t>1.07.2016 -30.09.2016</t>
  </si>
  <si>
    <t>1.01.2016 -30.09.2016</t>
  </si>
  <si>
    <t>Przychody z tytułu odsetek *</t>
  </si>
  <si>
    <t>1.01.2016 -31.12.2016</t>
  </si>
  <si>
    <t>1.10.2016 -31.12.2016</t>
  </si>
  <si>
    <t>31.12.2016</t>
  </si>
  <si>
    <t>1.01.2017 -31.03.2017</t>
  </si>
  <si>
    <t>31.03.2017</t>
  </si>
  <si>
    <t>Interest income IFRS</t>
  </si>
  <si>
    <t>Net interest income IFRS</t>
  </si>
  <si>
    <t>Interest from SWAPs</t>
  </si>
  <si>
    <t>1.01.2017 -30.06.2017</t>
  </si>
  <si>
    <t xml:space="preserve">Result on financial instruments valued at fair value through P&amp;L (with SWAP interest points) </t>
  </si>
  <si>
    <t>Odsetki od transakcji SWAP</t>
  </si>
  <si>
    <t>Wynik odsetkowy MSSF</t>
  </si>
  <si>
    <t>Przychody odsetkowe wg MSSF</t>
  </si>
  <si>
    <t xml:space="preserve">Wynik z instr. finansowych wycenianych do wartości godziwej przez RZiS (z odsetkami SWAP)  </t>
  </si>
  <si>
    <t>1.04.2017 -30.06.2017</t>
  </si>
  <si>
    <t>30.06.2017</t>
  </si>
  <si>
    <t>1.01.2017 -30.09.2017</t>
  </si>
  <si>
    <t>1.07.2017 -30.09.2017</t>
  </si>
  <si>
    <t>Koszty BFG**</t>
  </si>
  <si>
    <t>Banking Guarantee Fund costs**</t>
  </si>
  <si>
    <t>30.09.2017</t>
  </si>
  <si>
    <t xml:space="preserve"> - retail debt securities</t>
  </si>
  <si>
    <t xml:space="preserve"> - papiery wart. detaliczne</t>
  </si>
  <si>
    <t>1.01.2017 -31.12.2017</t>
  </si>
  <si>
    <t>1.10.2017 -31.12.2017</t>
  </si>
  <si>
    <t>31.12.2017</t>
  </si>
  <si>
    <t>1.01.2018 -31.03.2018</t>
  </si>
  <si>
    <t>Przychody z tytułu odsetek*</t>
  </si>
  <si>
    <t>Interest expenses</t>
  </si>
  <si>
    <t>Fee and commission expenses</t>
  </si>
  <si>
    <t>Result on derecognition of financial assets and liabilities not measured at fair value through profit or loss</t>
  </si>
  <si>
    <t>Wynik z tytułu zaprzestania ujmowania aktywów i zobowiązań finansowych niewycenianych według wartości godziwej przez wynik finansowy</t>
  </si>
  <si>
    <t>Results on financial assets and liabilities held for trading *</t>
  </si>
  <si>
    <t>Wynik z tytułu aktywów i zobowiązań finansowych przeznaczonych do obrotu *</t>
  </si>
  <si>
    <t>Result on hedge accounting</t>
  </si>
  <si>
    <t>Wynik z tytułu rachunkowości zabezpieczeń</t>
  </si>
  <si>
    <t>Result on exchange differences</t>
  </si>
  <si>
    <t>Pozostałe przychody operacyjne</t>
  </si>
  <si>
    <t>Pozostałe koszty operacyjne</t>
  </si>
  <si>
    <t>Administrative expenses</t>
  </si>
  <si>
    <t>Koszty administracyjne</t>
  </si>
  <si>
    <t>Depreciation</t>
  </si>
  <si>
    <t>Amortyzacja</t>
  </si>
  <si>
    <t>Result on modification</t>
  </si>
  <si>
    <t>Wynik z tytułu modyfikacji</t>
  </si>
  <si>
    <t>Result on operating activity</t>
  </si>
  <si>
    <t>Share of the profit of investments in subsidiaries</t>
  </si>
  <si>
    <t xml:space="preserve">Udział w zyskach jednostek podporządkowanych </t>
  </si>
  <si>
    <t>Result before income taxes</t>
  </si>
  <si>
    <t>Wynik finansowy przed opodatkowaniem podatkiem dochodowym</t>
  </si>
  <si>
    <t>Result after taxes</t>
  </si>
  <si>
    <t xml:space="preserve">Właścicieli jednostki dominującej </t>
  </si>
  <si>
    <t>Udziały niekontrolujące</t>
  </si>
  <si>
    <t xml:space="preserve">Średnia ważona liczba akcji zwykłych </t>
  </si>
  <si>
    <t>Profit (loss) per ordinary share (in PLN)</t>
  </si>
  <si>
    <t>31.03.2018</t>
  </si>
  <si>
    <t xml:space="preserve">Cash, cash balances at central banks </t>
  </si>
  <si>
    <t>Kasa, środki w Banku Centralnym</t>
  </si>
  <si>
    <t xml:space="preserve">Financial assets held for trading </t>
  </si>
  <si>
    <t xml:space="preserve">Aktywa finansowe przeznaczone do obrotu </t>
  </si>
  <si>
    <t>Financial assets at fair value through other comprehensive income</t>
  </si>
  <si>
    <t xml:space="preserve">Aktywa finansowe wyceniane według wartości godziwej przez inne całkowite dochody </t>
  </si>
  <si>
    <t>Instrumenty dłużne</t>
  </si>
  <si>
    <t xml:space="preserve">Deposits, loans and advances to banks and other monetary institutions </t>
  </si>
  <si>
    <t>Lokaty oraz kredyty i pożyczki udzielone bankom
i innym instytucjom monetarnym</t>
  </si>
  <si>
    <t>Kredyty i pożyczki udzielone klientom</t>
  </si>
  <si>
    <t>Repurchase agreements</t>
  </si>
  <si>
    <t>Transakcje z przyrzeczeniem odkupu</t>
  </si>
  <si>
    <t>Derivatives – Hedge accounting</t>
  </si>
  <si>
    <t>Instrumenty pochodne – rachunkowość zabezpieczeń</t>
  </si>
  <si>
    <t>Investments in subsidiaries, joint ventures and associates</t>
  </si>
  <si>
    <t>Inwestycje w jednostkach zależnych, we wspólnych przedsięwzięciach i w jednostkach stowarzyszonych</t>
  </si>
  <si>
    <t>Tangible and intangible assets</t>
  </si>
  <si>
    <t xml:space="preserve">Other assets </t>
  </si>
  <si>
    <t>Financial liabilities held for trading</t>
  </si>
  <si>
    <t>Zobowiązania finansowe przeznaczone do obrotu</t>
  </si>
  <si>
    <t>Financial liabilities measured at amortised cost</t>
  </si>
  <si>
    <t>Zobowiązania finansowe wyceniane według zamortyzowanego kosztu</t>
  </si>
  <si>
    <t>Liablities to banks and other monetary other monetary institutions</t>
  </si>
  <si>
    <t>Zobowiązania wobec banków i innych instytucji monetarnych</t>
  </si>
  <si>
    <t>Liabilities to customers</t>
  </si>
  <si>
    <t>Debt securities issued</t>
  </si>
  <si>
    <t>Wyemitowane dłużne papiery wartościowe</t>
  </si>
  <si>
    <t>Provisions</t>
  </si>
  <si>
    <t>Rezerwy</t>
  </si>
  <si>
    <t xml:space="preserve">Other liabilities </t>
  </si>
  <si>
    <t>Capital</t>
  </si>
  <si>
    <t>Accumulated other comprehensive income</t>
  </si>
  <si>
    <t>Skumulowane inne całkowite dochody</t>
  </si>
  <si>
    <t>** with resolution fund contribution (which is presented in other operating cost for earlier periods until the end of 2017)</t>
  </si>
  <si>
    <t>Przychody operacyjne</t>
  </si>
  <si>
    <t>Operating income</t>
  </si>
  <si>
    <t>Operating expenses**</t>
  </si>
  <si>
    <t>Koszty operacyjne **</t>
  </si>
  <si>
    <t>1.01.2018-31.03.2018</t>
  </si>
  <si>
    <t>Inne</t>
  </si>
  <si>
    <t>01.01.2017 - 31.12.2017</t>
  </si>
  <si>
    <t>01.01.2016 - 31.12.2016</t>
  </si>
  <si>
    <t xml:space="preserve">INTEREST INCOME &amp; COST - YEAR TO DATE </t>
  </si>
  <si>
    <t>01.10.2017 - 31.12.2017</t>
  </si>
  <si>
    <t>INTEREST INCOME &amp; COST - QUARTERLY</t>
  </si>
  <si>
    <t>Balances with the Central Bank</t>
  </si>
  <si>
    <t>Deposits, loans and advances to banks</t>
  </si>
  <si>
    <t>Transactions with repurchase agreement</t>
  </si>
  <si>
    <t>1.01.2018 -30.06.2018</t>
  </si>
  <si>
    <t>1.04.2018 -30.06.2018</t>
  </si>
  <si>
    <t>30.06.2018</t>
  </si>
  <si>
    <t>Aktywa finansowe nie przeznaczone do obrotu obowiązkowo wyceniane według wartości godziwej przez rachunek zysków i strat, inne niż Kredyty i pożyczki udzielone klientom</t>
  </si>
  <si>
    <t>Aktywa finansowe wyceniane według zamortyzowanego kosztu, inne niż Kredyty i pożyczki udzielone klientom</t>
  </si>
  <si>
    <t> 1.01.2018 - 30.06.2018</t>
  </si>
  <si>
    <t> 1.01.2018 -30.06.2018</t>
  </si>
  <si>
    <t>Przychody odsetkowe od Aktywów wycenianych według wartości godziwej przez inne całkowite dochody</t>
  </si>
  <si>
    <t>Przychody odsetkowe od Aktywów wycenianych według zamortyzowanego kosztu</t>
  </si>
  <si>
    <t>Środki w Banku Centralnym</t>
  </si>
  <si>
    <t>Lokaty oraz kredyty i pożyczki udzielone bankom i innym instytucjom monetarnym</t>
  </si>
  <si>
    <t xml:space="preserve">Transakcje z przyrzeczeniem odkupu </t>
  </si>
  <si>
    <t>Przychody o charakterze podobnym do odsetkowego z tytułu:</t>
  </si>
  <si>
    <t>Kredyty i pożyczki udzielone klientom obowiązkowo wyceniane według wartości godziwej przez rachunek zysków i strat</t>
  </si>
  <si>
    <t>Aktywa finansowe przeznaczone do obrotu - Instrumenty dłużne</t>
  </si>
  <si>
    <t>Zobowiązania finansowe wyceniane według zamortyzowanego kosztu:</t>
  </si>
  <si>
    <t>Interest income from Financial assets at fair value through other comprehensive  income</t>
  </si>
  <si>
    <t>Interest income from Financial assets at amortised cost</t>
  </si>
  <si>
    <t>Transactions with repurchase agreements</t>
  </si>
  <si>
    <t>Income of similar nature to interest, including:</t>
  </si>
  <si>
    <t>Loans and advances to customers mandatorily at fair value through profit or loss</t>
  </si>
  <si>
    <t>Financial assets held for trading - debt securities</t>
  </si>
  <si>
    <t>Total:</t>
  </si>
  <si>
    <t>Interest income and other of similar nature, including:</t>
  </si>
  <si>
    <t>Liablities to banks and other monetary other    monetary institutions</t>
  </si>
  <si>
    <t>Interest expense and other of similar nature, including:</t>
  </si>
  <si>
    <t>Liablities to banks and other monetary institutions</t>
  </si>
  <si>
    <t>Non-trading financial assets mandatorily at fair value through profit or loss, other than Loans and advances to customers</t>
  </si>
  <si>
    <t>Financial assets at amortised cost, other than Loans and advances to customers</t>
  </si>
  <si>
    <t>KREDYTY DLA KLIENTÓW - wyceniane wg wartości godziwej</t>
  </si>
  <si>
    <t>Kredyty i pożyczki udzielone klientom wyceniane wg zamortyzowanego kosztu i wg wartości godziwej</t>
  </si>
  <si>
    <t>Loans and advances to customers at amortised cost and at fair value</t>
  </si>
  <si>
    <t>-</t>
  </si>
  <si>
    <t xml:space="preserve">PROFIT &amp; LOSS ACCOUNT (PRO-FORMA) - YEAR TO DATE </t>
  </si>
  <si>
    <t>Result on non-trading financial assets mandatorily at fair value through profit or loss***</t>
  </si>
  <si>
    <t>Wynik z tytułu aktywów finansowych nieprzeznaczonych do obrotu wycenianych obowiązkowo według wartości godziwej przez wynik finansowy***</t>
  </si>
  <si>
    <t xml:space="preserve">Result on loan portfolio presented at fair value*** </t>
  </si>
  <si>
    <t>Wynik z tytułu kredytów wycenianych do wart. godziwej***</t>
  </si>
  <si>
    <t>LOANS FOR CUSTOMERS - at fair value</t>
  </si>
  <si>
    <t> 1.01.2018 - 30.09.2018</t>
  </si>
  <si>
    <t>1.07.2018 -30.09.2018</t>
  </si>
  <si>
    <t> 1.01.2018 -30.09.2018</t>
  </si>
  <si>
    <t>1.01.2018 -30.09.2018</t>
  </si>
  <si>
    <t>30.09.2018</t>
  </si>
  <si>
    <t>1.01.2018 -31.12.2018</t>
  </si>
  <si>
    <t>1.10.2018 -31.12.2018</t>
  </si>
  <si>
    <t>31.12.2018</t>
  </si>
  <si>
    <t> 1.01.2018 -31.12.2018</t>
  </si>
  <si>
    <t>1.01.2019 -31.03.2019</t>
  </si>
  <si>
    <t> 1.01.2019 -31.03.2019</t>
  </si>
  <si>
    <t>31.03.2019</t>
  </si>
  <si>
    <r>
      <t>Lease liabilities</t>
    </r>
    <r>
      <rPr>
        <vertAlign val="superscript"/>
        <sz val="9"/>
        <color indexed="8"/>
        <rFont val="Trebuchet MS"/>
        <family val="2"/>
        <charset val="238"/>
      </rPr>
      <t>*)</t>
    </r>
  </si>
  <si>
    <t>*) nowa pozycja wynikająca z  IFRS 16</t>
  </si>
  <si>
    <t>*) new item resulting from IFRS 16</t>
  </si>
  <si>
    <t>NET LOANS TO CUSTOMERS, TOTAL</t>
  </si>
  <si>
    <t>KREDYTY NETTO DLA KLIENTÓW, RAZEM</t>
  </si>
  <si>
    <r>
      <t>Zobowiązania z tytułu leasingu</t>
    </r>
    <r>
      <rPr>
        <vertAlign val="superscript"/>
        <sz val="9"/>
        <color indexed="8"/>
        <rFont val="Trebuchet MS"/>
        <family val="2"/>
        <charset val="238"/>
      </rPr>
      <t>*)</t>
    </r>
  </si>
  <si>
    <t>1.01.2019 -30.06.2019</t>
  </si>
  <si>
    <t>1.04.2019 -30.06.2019</t>
  </si>
  <si>
    <t> 1.01.2019 -30.06.2019</t>
  </si>
  <si>
    <t> 1.04.2019 -30.06.2019</t>
  </si>
  <si>
    <t>30.06.2019</t>
  </si>
  <si>
    <t>1.07.2019 -30.09.2019</t>
  </si>
  <si>
    <t>1.01.2019 -30.09.2019</t>
  </si>
  <si>
    <t> 1.01.2019 -30.09.2019</t>
  </si>
  <si>
    <t> 1.07.2019 -30.09.2019</t>
  </si>
  <si>
    <t>30.09.2019</t>
  </si>
  <si>
    <t>1.01.2019 -31.12.2019</t>
  </si>
  <si>
    <t>1.10.2019 -31.12.2019</t>
  </si>
  <si>
    <t>Koszty rezerw na sprawy sporne z tytułu walutowych kredytów hipotecznych</t>
  </si>
  <si>
    <t>Creation of provision for claims resulted from FX mortgage portfolio</t>
  </si>
  <si>
    <t> 1.10.2019 -31.12.2019</t>
  </si>
  <si>
    <t>31.12.2019</t>
  </si>
  <si>
    <t>(tys. zł)</t>
  </si>
  <si>
    <t>Risk-weighted assets</t>
  </si>
  <si>
    <t>Own Funds requirements, including:</t>
  </si>
  <si>
    <t>Own Funds, including:</t>
  </si>
  <si>
    <t>Common Equity Tier 1 Capital</t>
  </si>
  <si>
    <t>Tier 2 Capital</t>
  </si>
  <si>
    <t>Total Capital Ratio (TCR)</t>
  </si>
  <si>
    <t>Minimum required level</t>
  </si>
  <si>
    <t>Surplus(+) / Deficit(-) of TCR capital adequacy (p.p.)</t>
  </si>
  <si>
    <t>Tier 1 Capital ratio (T1)</t>
  </si>
  <si>
    <t>Surplus(+) / Deficit(-) of T1 capital adequacy (p.p.)</t>
  </si>
  <si>
    <t>Common Equity Tier 1 Capital ratio (CET1)</t>
  </si>
  <si>
    <t>Surplus(+) / Deficit(-) of CET1 capital adequacy (p.p.)</t>
  </si>
  <si>
    <t>Leverage ratio</t>
  </si>
  <si>
    <t xml:space="preserve">Capital adequacy of the Group </t>
  </si>
  <si>
    <t>Aktywa ważone ryzykiem</t>
  </si>
  <si>
    <t>Wymogi w zakresie funduszy własnych, w tym:</t>
  </si>
  <si>
    <t>z tytułu ryzyka kredytowego i kredytowego kontrahenta</t>
  </si>
  <si>
    <t>z tytułu ryzyka rynkowego</t>
  </si>
  <si>
    <t>z tytułu ryzyka operacyjnego</t>
  </si>
  <si>
    <t>z tytułu korekty wartości godziwej z tytułu ryzyka kredytowego</t>
  </si>
  <si>
    <t>Fundusze własne, w tym:</t>
  </si>
  <si>
    <t>Kapitał podstawowy Tier 1</t>
  </si>
  <si>
    <t>Kapitał Tier 2</t>
  </si>
  <si>
    <t>Łączny wskaźnik kapitałowy (TCR)</t>
  </si>
  <si>
    <t>Minimalny wymagany poziom</t>
  </si>
  <si>
    <t>Nadwyżka(+) / Niedobór(-) adekwatności kapitałowej TCR (p.p.)</t>
  </si>
  <si>
    <t>Wskaźnik kapitału Tier 1 (Wskaźnik T1)</t>
  </si>
  <si>
    <t>Nadwyżka(+) / Niedobór(-) adekwatności kapitałowej T1 (p.p.)</t>
  </si>
  <si>
    <t>Wskaźnik kapitału podstawowego Tier 1 (Wskaźnik CET1)</t>
  </si>
  <si>
    <t>Nadwyżka(+) / Niedobór (-) adekwatności kapitałowej CET1 (p.p.)</t>
  </si>
  <si>
    <t>Wskaźnik dźwigni finansowej</t>
  </si>
  <si>
    <t>Credit risk and counterparty credit risk</t>
  </si>
  <si>
    <t>Market risk</t>
  </si>
  <si>
    <t>Operational risk</t>
  </si>
  <si>
    <t>Credit Valuation Adjustment CVA</t>
  </si>
  <si>
    <t>Adekwatność kapitałowa Grupy</t>
  </si>
  <si>
    <t>PRZYCHODY I KOSZTY Z TYTUŁU PROWIZJI - KWARTALNIE</t>
  </si>
  <si>
    <t>PRZYCHODY I KOSZTY Z TYTUŁU PROWIZJI - NARASTAJĄCO</t>
  </si>
  <si>
    <t>Przychody z tytułu odsetek i przychody o podobnym charakterze</t>
  </si>
  <si>
    <t>PRZYCHODY I KOSZTY ODSETKOWE - NARASTAJĄCO</t>
  </si>
  <si>
    <t>Koszty z tytułu odsetek i podobne koszty</t>
  </si>
  <si>
    <t>RACHUNEK ZYSKÓW I STRAT (PRO-FORMA) - NARASTAJĄCO</t>
  </si>
  <si>
    <t>PRZYCHODY I KOSZTY ODSETKOWE - KWARTALNIE</t>
  </si>
  <si>
    <t>* bez amortyzacji</t>
  </si>
  <si>
    <t>OGÓLNE KOSZTY ADMINISTRACYJNE* - NARASTAJĄCO</t>
  </si>
  <si>
    <t>GENERAL AND ADMINISTRATIVE EXPENSES* - QUARTERLY</t>
  </si>
  <si>
    <t>OGÓLNE KOSZTY ADMINISTRACYJNE* - KWARTALNIE</t>
  </si>
  <si>
    <t>** z uwzględnieniem składki na fundusz przymusowej restrukturyzacji (do końca 2017 prezentowanej w pozostałych kosztach operacyjnych)</t>
  </si>
  <si>
    <t>BILANS</t>
  </si>
  <si>
    <t>KREDYTY I DEPOZYTY</t>
  </si>
  <si>
    <t xml:space="preserve">LOANS AND DEPOSITS </t>
  </si>
  <si>
    <t>** bez utratu wartości atywów finansowych i niefinansowych</t>
  </si>
  <si>
    <t xml:space="preserve">Administrative expenses </t>
  </si>
  <si>
    <t>** without impairment losses on financial and non-financial assets</t>
  </si>
  <si>
    <t>Derivatives – hedge accounting</t>
  </si>
  <si>
    <t>KREDYTY DLA KLIENTÓW - wyceniane wg zamortyzowanego kosztu (brutto)</t>
  </si>
  <si>
    <t>KREDYTY DLA KLIENTÓW - wyceniane wg zamortyzowanego kosztu (net)</t>
  </si>
  <si>
    <t>ODPISY NA KREDYTY DLA KLIENTÓW - wyceniane wg zamortyzowanego kosztu (brutto)</t>
  </si>
  <si>
    <t>TOTAL PROVISIONS</t>
  </si>
  <si>
    <t>Odpisy razem</t>
  </si>
  <si>
    <t>(PLN '000)</t>
  </si>
  <si>
    <t>Fees &amp; Commissions Income    (PLN '000)</t>
  </si>
  <si>
    <t>Fees &amp; Commissions Cost       (PLN '000)</t>
  </si>
  <si>
    <t>Net Fees &amp; Commissions        (PLN '000)</t>
  </si>
  <si>
    <t>Fees &amp; Commissions Cost    (PLN '000)</t>
  </si>
  <si>
    <t>Net Fees &amp; Commissions     (PLN '000)</t>
  </si>
  <si>
    <t xml:space="preserve">    (PLN '000)</t>
  </si>
  <si>
    <t xml:space="preserve">   (PLN '000)</t>
  </si>
  <si>
    <t>ASSETS (PLN '000)</t>
  </si>
  <si>
    <t>LIABILITIES (PLN '000)</t>
  </si>
  <si>
    <t>LOANS TO CUSTOMERS (gross) - at amortised cost</t>
  </si>
  <si>
    <t>PROVISIONS ON CUSTOMER LOANS - at amortised cost</t>
  </si>
  <si>
    <t>LOANS TO CUSTOMERS (net) - at amortised cost</t>
  </si>
  <si>
    <t>1.01.2020 -31.03.2020</t>
  </si>
  <si>
    <t>31.03.2020</t>
  </si>
  <si>
    <t>Rezerwy z tytułu COVID-19</t>
  </si>
  <si>
    <t>Provisions for COVID19</t>
  </si>
  <si>
    <t>+3,08 p.p.</t>
  </si>
  <si>
    <t>+ 5,89 p.p.</t>
  </si>
  <si>
    <t>+ 4,84 p.p.</t>
  </si>
  <si>
    <t>+ 4,63 p.p.</t>
  </si>
  <si>
    <t>+ 2,53 p.p.</t>
  </si>
  <si>
    <t>+ 6,83 p.p.</t>
  </si>
  <si>
    <t>+ 0,36 p.p.</t>
  </si>
  <si>
    <t>+ 0,47 p.p.</t>
  </si>
  <si>
    <t>+ 1,72 p.p.</t>
  </si>
  <si>
    <t>+ 4,16 p.p.</t>
  </si>
  <si>
    <t>+ 5,47 p.p.</t>
  </si>
  <si>
    <t>+ 7,14 p.p.</t>
  </si>
  <si>
    <t>+ 6,15 p.p.</t>
  </si>
  <si>
    <t>+ 5,96 p.p.</t>
  </si>
  <si>
    <t>+ 4,19 p.p.</t>
  </si>
  <si>
    <t>+ 5,34 p.p.</t>
  </si>
  <si>
    <t>+ 0,68 p.p.</t>
  </si>
  <si>
    <t>+ 0,87 p.p.</t>
  </si>
  <si>
    <t>+ 1,76 p.p.</t>
  </si>
  <si>
    <t>+ 4,36 p.p.</t>
  </si>
  <si>
    <t>+ 6,50 p.p.</t>
  </si>
  <si>
    <t>+ 9,66 p.p.</t>
  </si>
  <si>
    <t>+ 8,68 p.p.</t>
  </si>
  <si>
    <t>+ 8,49 p.p.</t>
  </si>
  <si>
    <t>+ 6,88 p.p.</t>
  </si>
  <si>
    <t>+ 8,03 p.p.</t>
  </si>
  <si>
    <t>+ 3,37 p.p.</t>
  </si>
  <si>
    <t>+ 3,56 p.p.</t>
  </si>
  <si>
    <t>+ 4,18 p.p.</t>
  </si>
  <si>
    <t>+ 6,78 p.p.</t>
  </si>
  <si>
    <t>Quality of loans and advances to customers portfolio valued at amortised cost</t>
  </si>
  <si>
    <t>Jakość portfela kredytów i pożyczek wycenianych wg zamortyzowanego kosztu</t>
  </si>
  <si>
    <t>Loans and advances to customers (gross)</t>
  </si>
  <si>
    <t>Kredyty i pożyczki udzielone klientom (brutto)</t>
  </si>
  <si>
    <t>impaired</t>
  </si>
  <si>
    <t>z rozpoznaną utratą wartości</t>
  </si>
  <si>
    <t>not impaired</t>
  </si>
  <si>
    <t>bez rozpoznanej utraty wartości</t>
  </si>
  <si>
    <t>Impairment write-offs</t>
  </si>
  <si>
    <t>Odpis aktualizacyjny z tytułu utraty wartości</t>
  </si>
  <si>
    <t>for impaired exposures</t>
  </si>
  <si>
    <t>na ekspozycje z rozpoznaną utratą wartości</t>
  </si>
  <si>
    <t>na ekspozycje bez rozpoznanej utraty wartości</t>
  </si>
  <si>
    <t>Loans and advances to customers (net)</t>
  </si>
  <si>
    <t>Kredyty i pożyczki udzielone klientom (netto):</t>
  </si>
  <si>
    <t>Loans and advances to customers portfolio valued at amortised cost by methodology of impairment assessment</t>
  </si>
  <si>
    <t>Podział kredytów i pożyczek wycenianych wg zamortyzowanego kosztu ze względu na metodę szacunku utraty wartości</t>
  </si>
  <si>
    <t>case by case analysis</t>
  </si>
  <si>
    <t>wyceniane indywidualnie</t>
  </si>
  <si>
    <t>collective analysis</t>
  </si>
  <si>
    <t>wyceniane portfelowo</t>
  </si>
  <si>
    <t>Impairment allowances</t>
  </si>
  <si>
    <t>on the basis of case by case analysis</t>
  </si>
  <si>
    <t>utworzony na bazie analizy indywidualnej</t>
  </si>
  <si>
    <t>on the basis of collective analysis</t>
  </si>
  <si>
    <t>utworzony na bazie analizy kolektywnej</t>
  </si>
  <si>
    <t>Impairment allowances and gross carrying amount of loans and advances divided into stages and classes</t>
  </si>
  <si>
    <t>Odpisy z tytułu utraty wartości i wartość bilansowa brutto kredytów i pożyczek wycenianych wg zamortyzowanego kosztu w podziale na koszyki i klasy</t>
  </si>
  <si>
    <t>Stage 1</t>
  </si>
  <si>
    <t>Koszyk 1</t>
  </si>
  <si>
    <t>Stage 2</t>
  </si>
  <si>
    <t>Koszyk 2</t>
  </si>
  <si>
    <t>Stage 3</t>
  </si>
  <si>
    <t>Koszyk 3</t>
  </si>
  <si>
    <t>POCI</t>
  </si>
  <si>
    <t>Razem</t>
  </si>
  <si>
    <t>Companies: impairment allowances</t>
  </si>
  <si>
    <t>Przedsiębiorstwa: odpisy z tytułu utraty wartości</t>
  </si>
  <si>
    <t>Individuals: loans and advances balance sheet value, gross</t>
  </si>
  <si>
    <t>Osoby prywatne: kredyty i pożyczki wartość bilansowa brutto</t>
  </si>
  <si>
    <t>Individuals: impairment allowances</t>
  </si>
  <si>
    <t>Osoby prywatne: odpisy z tytułu utraty wartości</t>
  </si>
  <si>
    <r>
      <t xml:space="preserve">for </t>
    </r>
    <r>
      <rPr>
        <sz val="8"/>
        <color indexed="8"/>
        <rFont val="Trebuchet MS"/>
        <family val="2"/>
        <charset val="238"/>
      </rPr>
      <t>not impaired exposures</t>
    </r>
  </si>
  <si>
    <t>Companies: loans and advances balance sheet value, gross, EOP</t>
  </si>
  <si>
    <t>Przedsiębiorstwa: kredyty i pożyczki wartość bilansowa brutto, koniec okresu</t>
  </si>
  <si>
    <t>30.06.2020</t>
  </si>
  <si>
    <t>1.04.2020 -30.06.2020</t>
  </si>
  <si>
    <t>1.01.2020 -30.06.2020</t>
  </si>
  <si>
    <t>+ 4,65 p.p.</t>
  </si>
  <si>
    <t>+ 4,81 p.p.</t>
  </si>
  <si>
    <t>+ 7,23 p.p.</t>
  </si>
  <si>
    <t>30.09.2020</t>
  </si>
  <si>
    <t>1.07.2020 -30.09.2020</t>
  </si>
  <si>
    <t>1.01.2020 -30.09.2020</t>
  </si>
  <si>
    <t>Akcje własne</t>
  </si>
  <si>
    <t>+ 4,83 p.p.</t>
  </si>
  <si>
    <t>+ 7,25 p.p.</t>
  </si>
  <si>
    <t>(PLNmn)</t>
  </si>
  <si>
    <t>(mln zł)</t>
  </si>
  <si>
    <t>31.12.2020</t>
  </si>
  <si>
    <t>+ 5,39 p.p.</t>
  </si>
  <si>
    <t>+ 5,23 p.p.</t>
  </si>
  <si>
    <t>+ 7,37 p.p.</t>
  </si>
  <si>
    <t>1.10.2020 -31.12.2020</t>
  </si>
  <si>
    <t>1.01.2020 -31.12.2020</t>
  </si>
  <si>
    <t>Active FTE***</t>
  </si>
  <si>
    <t>Aktywne zatrudnienie (etaty)***</t>
  </si>
  <si>
    <t>*** without employees on long leaves</t>
  </si>
  <si>
    <t>1.01.2021 -31.03.2021</t>
  </si>
  <si>
    <t>31.03.2021</t>
  </si>
  <si>
    <t>+ 5,27 p.p.</t>
  </si>
  <si>
    <t>+ 5,05 p.p.</t>
  </si>
  <si>
    <t>+ 7,19 p.p.</t>
  </si>
  <si>
    <t>1.04.2021 -30.06.2021</t>
  </si>
  <si>
    <t>1.01.2021 -30.06.2021</t>
  </si>
  <si>
    <t xml:space="preserve">* including interest on swaps </t>
  </si>
  <si>
    <t xml:space="preserve">* zawiera odsetki od swap-ów </t>
  </si>
  <si>
    <t>*** Result on loan portfolio presented at fair value is presented as a separate line (together with other "cost of risk" items) whereas in financial statements it is presented under Result on non-trading financial assets mandatorily at fair value through profit or loss</t>
  </si>
  <si>
    <t>*** Wynik na portfelu wycenianym wg wartości godziwej prezentowany jest w oddzielnej linii (obok pozostałych pozycji składających się na  "koszt ryzyka") podczas gdy w sprawozdaniu finansowym jest prezentowany w  wyniku z tytułu aktywów finansowych nieprzeznaczonych do obrotu wycenianych obowiązkowo według wartości godziwej przez wynik finansowy</t>
  </si>
  <si>
    <t>RACHUNEK ZYSKÓW I STRAT - KWARTALNIE</t>
  </si>
  <si>
    <t xml:space="preserve">Results on financial assets and liabilities held for trading </t>
  </si>
  <si>
    <t>Financial assets held for trading - derivatives</t>
  </si>
  <si>
    <t>Aktywa finansowe przeznaczone do obrotu - Instrumenty pochodne</t>
  </si>
  <si>
    <t>30.06.2021</t>
  </si>
  <si>
    <t>+ 4,55 p.p.</t>
  </si>
  <si>
    <t>1.07.2021 -30.09.2021</t>
  </si>
  <si>
    <t>1.01.2021 -30.09.2021</t>
  </si>
  <si>
    <t>30.09.2021</t>
  </si>
  <si>
    <t>1,530 0</t>
  </si>
  <si>
    <t>+ 4,07 p.p.</t>
  </si>
  <si>
    <t>+ 3,85 p.p.</t>
  </si>
  <si>
    <t>+ 5,99 pp</t>
  </si>
  <si>
    <t>1.10.2021 -31.12.2021</t>
  </si>
  <si>
    <t>1.01.2021 -31.12.2021</t>
  </si>
  <si>
    <t>31.12.2021</t>
  </si>
  <si>
    <t>Treasury shares</t>
  </si>
  <si>
    <t>+ 3,52 p.p.</t>
  </si>
  <si>
    <t>+ 3,13 p.p.</t>
  </si>
  <si>
    <t>+ 5,16 pp</t>
  </si>
  <si>
    <t>1.01.2022 -31.03.2022</t>
  </si>
  <si>
    <t>31.03.2022</t>
  </si>
  <si>
    <t>+ 2,44 p.p.</t>
  </si>
  <si>
    <t>+ 2,02 p.p.</t>
  </si>
  <si>
    <t>30.06.2022</t>
  </si>
  <si>
    <t>+ 1,65 p.p.</t>
  </si>
  <si>
    <t>+ 1,28 p.p.</t>
  </si>
  <si>
    <t>1.01.2022 -30.06.2022</t>
  </si>
  <si>
    <t>1.04.2022 -30.06.2022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</si>
</sst>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[Red]\(#,##0\)"/>
    <numFmt numFmtId="165" formatCode="#,##0.00;[Red]\(#,##0.00\)"/>
    <numFmt numFmtId="166" formatCode="#,##0.0"/>
    <numFmt numFmtId="167" formatCode="0.000"/>
    <numFmt numFmtId="168" formatCode="0.0"/>
    <numFmt numFmtId="169" formatCode="0.0%"/>
  </numFmts>
  <fonts count="40">
    <font>
      <sz val="11"/>
      <color theme="1"/>
      <name val="Trebuchet MS"/>
      <family val="2"/>
      <charset val="238"/>
    </font>
    <font>
      <sz val="10"/>
      <name val="Arial CE"/>
      <charset val="238"/>
    </font>
    <font>
      <sz val="13.5"/>
      <name val="MS Sans Serif"/>
      <family val="2"/>
      <charset val="238"/>
    </font>
    <font>
      <sz val="9"/>
      <color indexed="8"/>
      <name val="Trebuchet MS"/>
      <family val="2"/>
      <charset val="238"/>
    </font>
    <font>
      <b/>
      <sz val="9"/>
      <name val="Trebuchet MS"/>
      <family val="2"/>
      <charset val="238"/>
    </font>
    <font>
      <b/>
      <sz val="9"/>
      <color indexed="8"/>
      <name val="Trebuchet MS"/>
      <family val="2"/>
      <charset val="238"/>
    </font>
    <font>
      <sz val="9"/>
      <name val="Trebuchet MS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vertAlign val="superscript"/>
      <sz val="9"/>
      <color indexed="8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9"/>
      <color rgb="FFFFFFFF"/>
      <name val="Trebuchet MS"/>
      <family val="2"/>
      <charset val="238"/>
    </font>
    <font>
      <i/>
      <sz val="9"/>
      <color theme="1"/>
      <name val="Trebuchet MS"/>
      <family val="2"/>
      <charset val="238"/>
    </font>
    <font>
      <sz val="9"/>
      <color rgb="FFFF0000"/>
      <name val="Trebuchet MS"/>
      <family val="2"/>
      <charset val="238"/>
    </font>
    <font>
      <b/>
      <sz val="12"/>
      <color rgb="FFCC0066"/>
      <name val="Trebuchet MS"/>
      <family val="2"/>
      <charset val="238"/>
    </font>
    <font>
      <sz val="9"/>
      <color rgb="FF000000"/>
      <name val="Trebuchet MS"/>
      <family val="2"/>
      <charset val="238"/>
    </font>
    <font>
      <b/>
      <sz val="9"/>
      <color rgb="FF000000"/>
      <name val="Trebuchet MS"/>
      <family val="2"/>
      <charset val="238"/>
    </font>
    <font>
      <b/>
      <sz val="9"/>
      <color rgb="FFFF0000"/>
      <name val="Trebuchet MS"/>
      <family val="2"/>
      <charset val="238"/>
    </font>
    <font>
      <b/>
      <sz val="9"/>
      <color rgb="FFFFFFFF"/>
      <name val="Trebuchet MS"/>
      <family val="2"/>
      <charset val="238"/>
    </font>
    <font>
      <sz val="8"/>
      <color theme="1"/>
      <name val="Trebuchet MS"/>
      <family val="2"/>
      <charset val="238"/>
    </font>
    <font>
      <b/>
      <sz val="12"/>
      <color rgb="FFC60052"/>
      <name val="Trebuchet MS"/>
      <family val="2"/>
      <charset val="238"/>
    </font>
    <font>
      <b/>
      <sz val="9"/>
      <color theme="1"/>
      <name val="Trebuchet MS"/>
      <family val="2"/>
      <charset val="238"/>
    </font>
    <font>
      <b/>
      <sz val="9"/>
      <color rgb="FFC00000"/>
      <name val="Trebuchet MS"/>
      <family val="2"/>
      <charset val="238"/>
    </font>
    <font>
      <b/>
      <sz val="11"/>
      <color theme="1"/>
      <name val="Calibri"/>
      <family val="2"/>
      <charset val="238"/>
    </font>
    <font>
      <sz val="8"/>
      <name val="Trebuchet MS"/>
      <family val="2"/>
      <charset val="238"/>
    </font>
    <font>
      <sz val="8"/>
      <color rgb="FF000000"/>
      <name val="Trebuchet MS"/>
      <family val="2"/>
      <charset val="238"/>
    </font>
    <font>
      <sz val="8"/>
      <color rgb="FFFF0000"/>
      <name val="Trebuchet MS"/>
      <family val="2"/>
      <charset val="238"/>
    </font>
    <font>
      <b/>
      <sz val="8"/>
      <color rgb="FF000000"/>
      <name val="Trebuchet MS"/>
      <family val="2"/>
      <charset val="238"/>
    </font>
    <font>
      <b/>
      <sz val="8"/>
      <color rgb="FFC60052"/>
      <name val="Trebuchet MS"/>
      <family val="2"/>
      <charset val="238"/>
    </font>
    <font>
      <b/>
      <sz val="8"/>
      <color rgb="FFFFFFFF"/>
      <name val="Trebuchet MS"/>
      <family val="2"/>
      <charset val="238"/>
    </font>
    <font>
      <sz val="8"/>
      <color indexed="8"/>
      <name val="Trebuchet MS"/>
      <family val="2"/>
      <charset val="238"/>
    </font>
    <font>
      <b/>
      <sz val="8"/>
      <color theme="1"/>
      <name val="Trebuchet MS"/>
      <family val="2"/>
      <charset val="238"/>
    </font>
    <font>
      <sz val="11"/>
      <color theme="1"/>
      <name val="Trebuchet MS"/>
      <family val="2"/>
      <charset val="238"/>
    </font>
    <font>
      <sz val="8"/>
      <color rgb="FFFFFFFF"/>
      <name val="Trebuchet MS"/>
      <family val="2"/>
      <charset val="238"/>
    </font>
    <font>
      <b/>
      <sz val="8"/>
      <name val="Trebuchet MS"/>
      <family val="2"/>
      <charset val="238"/>
    </font>
    <font>
      <i/>
      <sz val="8"/>
      <color rgb="FFFFFFFF"/>
      <name val="Trebuchet MS"/>
      <family val="2"/>
      <charset val="238"/>
    </font>
    <font>
      <b/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D0067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DDDDDD"/>
      </bottom>
      <diagonal/>
    </border>
    <border>
      <left/>
      <right/>
      <top/>
      <bottom style="medium">
        <color rgb="FFAB0034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C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2" fillId="0" borderId="0"/>
    <xf numFmtId="9" fontId="35" fillId="0" borderId="0" applyFont="0" applyFill="0" applyBorder="0" applyAlignment="0" applyProtection="0"/>
  </cellStyleXfs>
  <cellXfs count="310">
    <xf numFmtId="0" fontId="0" fillId="0" borderId="0" xfId="0"/>
    <xf numFmtId="0" fontId="13" fillId="0" borderId="0" xfId="0" applyFont="1"/>
    <xf numFmtId="164" fontId="5" fillId="0" borderId="1" xfId="2" applyNumberFormat="1" applyFont="1" applyFill="1" applyBorder="1" applyAlignment="1">
      <alignment horizontal="right" vertical="top" wrapText="1"/>
    </xf>
    <xf numFmtId="164" fontId="5" fillId="2" borderId="1" xfId="2" applyNumberFormat="1" applyFont="1" applyFill="1" applyBorder="1" applyAlignment="1">
      <alignment horizontal="right" vertical="top" wrapText="1"/>
    </xf>
    <xf numFmtId="0" fontId="14" fillId="0" borderId="0" xfId="0" applyFont="1"/>
    <xf numFmtId="164" fontId="3" fillId="0" borderId="2" xfId="2" applyNumberFormat="1" applyFont="1" applyFill="1" applyBorder="1" applyAlignment="1">
      <alignment horizontal="right" vertical="top" wrapText="1"/>
    </xf>
    <xf numFmtId="164" fontId="3" fillId="0" borderId="3" xfId="2" applyNumberFormat="1" applyFont="1" applyFill="1" applyBorder="1" applyAlignment="1">
      <alignment horizontal="right" vertical="top" wrapText="1"/>
    </xf>
    <xf numFmtId="164" fontId="5" fillId="0" borderId="3" xfId="2" applyNumberFormat="1" applyFont="1" applyFill="1" applyBorder="1" applyAlignment="1">
      <alignment horizontal="right" vertical="top" wrapText="1"/>
    </xf>
    <xf numFmtId="164" fontId="6" fillId="0" borderId="3" xfId="2" applyNumberFormat="1" applyFont="1" applyFill="1" applyBorder="1" applyAlignment="1">
      <alignment horizontal="right" vertical="top" wrapText="1"/>
    </xf>
    <xf numFmtId="164" fontId="3" fillId="0" borderId="4" xfId="2" applyNumberFormat="1" applyFont="1" applyFill="1" applyBorder="1" applyAlignment="1">
      <alignment horizontal="right" vertical="top" wrapText="1"/>
    </xf>
    <xf numFmtId="164" fontId="3" fillId="0" borderId="5" xfId="2" applyNumberFormat="1" applyFont="1" applyFill="1" applyBorder="1" applyAlignment="1">
      <alignment horizontal="right" vertical="top" wrapText="1"/>
    </xf>
    <xf numFmtId="164" fontId="3" fillId="2" borderId="2" xfId="2" applyNumberFormat="1" applyFont="1" applyFill="1" applyBorder="1" applyAlignment="1">
      <alignment horizontal="right" vertical="top" wrapText="1"/>
    </xf>
    <xf numFmtId="164" fontId="3" fillId="2" borderId="3" xfId="2" applyNumberFormat="1" applyFont="1" applyFill="1" applyBorder="1" applyAlignment="1">
      <alignment horizontal="right" vertical="top" wrapText="1"/>
    </xf>
    <xf numFmtId="164" fontId="5" fillId="2" borderId="3" xfId="2" applyNumberFormat="1" applyFont="1" applyFill="1" applyBorder="1" applyAlignment="1">
      <alignment horizontal="right" vertical="top" wrapText="1"/>
    </xf>
    <xf numFmtId="164" fontId="6" fillId="2" borderId="3" xfId="2" applyNumberFormat="1" applyFont="1" applyFill="1" applyBorder="1" applyAlignment="1">
      <alignment horizontal="right" vertical="top" wrapText="1"/>
    </xf>
    <xf numFmtId="164" fontId="3" fillId="2" borderId="4" xfId="2" applyNumberFormat="1" applyFont="1" applyFill="1" applyBorder="1" applyAlignment="1">
      <alignment horizontal="right" vertical="top" wrapText="1"/>
    </xf>
    <xf numFmtId="164" fontId="3" fillId="2" borderId="5" xfId="2" applyNumberFormat="1" applyFont="1" applyFill="1" applyBorder="1" applyAlignment="1">
      <alignment horizontal="right" vertical="top" wrapText="1"/>
    </xf>
    <xf numFmtId="164" fontId="6" fillId="2" borderId="4" xfId="2" applyNumberFormat="1" applyFont="1" applyFill="1" applyBorder="1" applyAlignment="1">
      <alignment horizontal="right"/>
    </xf>
    <xf numFmtId="165" fontId="4" fillId="2" borderId="1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 vertical="center"/>
    </xf>
    <xf numFmtId="164" fontId="6" fillId="2" borderId="3" xfId="2" applyNumberFormat="1" applyFont="1" applyFill="1" applyBorder="1" applyAlignment="1">
      <alignment vertical="top" wrapText="1"/>
    </xf>
    <xf numFmtId="164" fontId="4" fillId="2" borderId="1" xfId="4" applyNumberFormat="1" applyFont="1" applyFill="1" applyBorder="1" applyAlignment="1" applyProtection="1">
      <alignment horizontal="right" vertical="center" wrapText="1"/>
    </xf>
    <xf numFmtId="164" fontId="6" fillId="2" borderId="5" xfId="4" applyNumberFormat="1" applyFont="1" applyFill="1" applyBorder="1" applyAlignment="1" applyProtection="1">
      <alignment horizontal="right" vertical="center" wrapText="1"/>
      <protection locked="0"/>
    </xf>
    <xf numFmtId="164" fontId="6" fillId="2" borderId="4" xfId="4" applyNumberFormat="1" applyFont="1" applyFill="1" applyBorder="1" applyAlignment="1" applyProtection="1">
      <alignment horizontal="right" vertical="center" wrapText="1"/>
      <protection locked="0"/>
    </xf>
    <xf numFmtId="164" fontId="6" fillId="2" borderId="3" xfId="4" applyNumberFormat="1" applyFont="1" applyFill="1" applyBorder="1" applyAlignment="1" applyProtection="1">
      <alignment horizontal="right" vertical="center" wrapText="1"/>
      <protection locked="0"/>
    </xf>
    <xf numFmtId="164" fontId="4" fillId="2" borderId="1" xfId="4" applyNumberFormat="1" applyFont="1" applyFill="1" applyBorder="1" applyAlignment="1" applyProtection="1">
      <alignment horizontal="right" vertical="center" wrapText="1"/>
      <protection locked="0"/>
    </xf>
    <xf numFmtId="164" fontId="4" fillId="2" borderId="5" xfId="4" applyNumberFormat="1" applyFont="1" applyFill="1" applyBorder="1" applyAlignment="1" applyProtection="1">
      <alignment horizontal="right" vertical="center" wrapText="1"/>
      <protection locked="0"/>
    </xf>
    <xf numFmtId="164" fontId="13" fillId="0" borderId="0" xfId="0" applyNumberFormat="1" applyFont="1"/>
    <xf numFmtId="3" fontId="13" fillId="0" borderId="0" xfId="0" applyNumberFormat="1" applyFont="1"/>
    <xf numFmtId="164" fontId="4" fillId="2" borderId="3" xfId="2" applyNumberFormat="1" applyFont="1" applyFill="1" applyBorder="1" applyAlignment="1">
      <alignment vertical="top" wrapText="1"/>
    </xf>
    <xf numFmtId="0" fontId="15" fillId="0" borderId="0" xfId="0" applyFont="1"/>
    <xf numFmtId="164" fontId="4" fillId="3" borderId="1" xfId="2" applyNumberFormat="1" applyFont="1" applyFill="1" applyBorder="1" applyAlignment="1">
      <alignment horizontal="left" vertical="top" wrapText="1"/>
    </xf>
    <xf numFmtId="164" fontId="6" fillId="3" borderId="3" xfId="2" applyNumberFormat="1" applyFont="1" applyFill="1" applyBorder="1" applyAlignment="1">
      <alignment vertical="top" wrapText="1"/>
    </xf>
    <xf numFmtId="164" fontId="4" fillId="3" borderId="1" xfId="2" applyNumberFormat="1" applyFont="1" applyFill="1" applyBorder="1" applyAlignment="1">
      <alignment horizontal="center"/>
    </xf>
    <xf numFmtId="164" fontId="6" fillId="3" borderId="5" xfId="2" applyNumberFormat="1" applyFont="1" applyFill="1" applyBorder="1" applyAlignment="1">
      <alignment vertical="top" wrapText="1"/>
    </xf>
    <xf numFmtId="164" fontId="6" fillId="3" borderId="4" xfId="2" applyNumberFormat="1" applyFont="1" applyFill="1" applyBorder="1" applyAlignment="1">
      <alignment vertical="top" wrapText="1"/>
    </xf>
    <xf numFmtId="164" fontId="4" fillId="3" borderId="5" xfId="2" applyNumberFormat="1" applyFont="1" applyFill="1" applyBorder="1" applyAlignment="1">
      <alignment horizontal="left" vertical="top" wrapText="1"/>
    </xf>
    <xf numFmtId="164" fontId="4" fillId="4" borderId="1" xfId="2" applyNumberFormat="1" applyFont="1" applyFill="1" applyBorder="1" applyAlignment="1">
      <alignment horizontal="center" vertical="center" wrapText="1"/>
    </xf>
    <xf numFmtId="164" fontId="4" fillId="5" borderId="1" xfId="2" applyNumberFormat="1" applyFont="1" applyFill="1" applyBorder="1" applyAlignment="1">
      <alignment horizontal="center" vertical="center" wrapText="1"/>
    </xf>
    <xf numFmtId="164" fontId="3" fillId="5" borderId="6" xfId="2" applyNumberFormat="1" applyFont="1" applyFill="1" applyBorder="1" applyAlignment="1">
      <alignment vertical="top" wrapText="1"/>
    </xf>
    <xf numFmtId="164" fontId="5" fillId="5" borderId="7" xfId="2" applyNumberFormat="1" applyFont="1" applyFill="1" applyBorder="1" applyAlignment="1">
      <alignment vertical="top" wrapText="1"/>
    </xf>
    <xf numFmtId="164" fontId="3" fillId="4" borderId="3" xfId="2" applyNumberFormat="1" applyFont="1" applyFill="1" applyBorder="1" applyAlignment="1">
      <alignment vertical="top" wrapText="1"/>
    </xf>
    <xf numFmtId="164" fontId="3" fillId="4" borderId="5" xfId="2" applyNumberFormat="1" applyFont="1" applyFill="1" applyBorder="1" applyAlignment="1">
      <alignment vertical="top" wrapText="1"/>
    </xf>
    <xf numFmtId="164" fontId="5" fillId="4" borderId="3" xfId="2" applyNumberFormat="1" applyFont="1" applyFill="1" applyBorder="1" applyAlignment="1">
      <alignment vertical="top" wrapText="1"/>
    </xf>
    <xf numFmtId="164" fontId="3" fillId="4" borderId="4" xfId="2" applyNumberFormat="1" applyFont="1" applyFill="1" applyBorder="1" applyAlignment="1">
      <alignment vertical="top" wrapText="1"/>
    </xf>
    <xf numFmtId="164" fontId="5" fillId="4" borderId="1" xfId="2" applyNumberFormat="1" applyFont="1" applyFill="1" applyBorder="1" applyAlignment="1">
      <alignment vertical="top" wrapText="1"/>
    </xf>
    <xf numFmtId="164" fontId="3" fillId="4" borderId="3" xfId="2" applyNumberFormat="1" applyFont="1" applyFill="1" applyBorder="1" applyAlignment="1">
      <alignment horizontal="left" vertical="top" wrapText="1" indent="2"/>
    </xf>
    <xf numFmtId="164" fontId="4" fillId="4" borderId="4" xfId="2" applyNumberFormat="1" applyFont="1" applyFill="1" applyBorder="1" applyAlignment="1">
      <alignment wrapText="1"/>
    </xf>
    <xf numFmtId="164" fontId="4" fillId="4" borderId="1" xfId="2" applyNumberFormat="1" applyFont="1" applyFill="1" applyBorder="1" applyAlignment="1">
      <alignment wrapText="1"/>
    </xf>
    <xf numFmtId="164" fontId="5" fillId="5" borderId="6" xfId="2" applyNumberFormat="1" applyFont="1" applyFill="1" applyBorder="1" applyAlignment="1">
      <alignment vertical="top" wrapText="1"/>
    </xf>
    <xf numFmtId="164" fontId="3" fillId="5" borderId="8" xfId="2" applyNumberFormat="1" applyFont="1" applyFill="1" applyBorder="1" applyAlignment="1">
      <alignment vertical="top" wrapText="1"/>
    </xf>
    <xf numFmtId="164" fontId="3" fillId="5" borderId="9" xfId="2" applyNumberFormat="1" applyFont="1" applyFill="1" applyBorder="1" applyAlignment="1">
      <alignment vertical="top" wrapText="1"/>
    </xf>
    <xf numFmtId="164" fontId="3" fillId="5" borderId="6" xfId="2" applyNumberFormat="1" applyFont="1" applyFill="1" applyBorder="1" applyAlignment="1">
      <alignment horizontal="left" vertical="top" wrapText="1" indent="2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Border="1"/>
    <xf numFmtId="164" fontId="6" fillId="0" borderId="0" xfId="2" applyNumberFormat="1" applyFont="1" applyFill="1" applyBorder="1" applyAlignment="1">
      <alignment horizontal="right"/>
    </xf>
    <xf numFmtId="165" fontId="4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Border="1" applyAlignment="1"/>
    <xf numFmtId="164" fontId="4" fillId="4" borderId="1" xfId="2" applyNumberFormat="1" applyFont="1" applyFill="1" applyBorder="1" applyAlignment="1">
      <alignment horizontal="center"/>
    </xf>
    <xf numFmtId="164" fontId="16" fillId="2" borderId="3" xfId="4" applyNumberFormat="1" applyFont="1" applyFill="1" applyBorder="1" applyAlignment="1" applyProtection="1">
      <alignment horizontal="right" vertical="center" wrapText="1"/>
      <protection locked="0"/>
    </xf>
    <xf numFmtId="3" fontId="7" fillId="0" borderId="0" xfId="0" applyNumberFormat="1" applyFont="1" applyFill="1" applyBorder="1"/>
    <xf numFmtId="14" fontId="7" fillId="0" borderId="0" xfId="0" applyNumberFormat="1" applyFont="1" applyFill="1" applyBorder="1" applyAlignment="1">
      <alignment horizontal="center"/>
    </xf>
    <xf numFmtId="3" fontId="8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wrapText="1"/>
    </xf>
    <xf numFmtId="3" fontId="7" fillId="0" borderId="0" xfId="0" applyNumberFormat="1" applyFont="1" applyFill="1" applyBorder="1" applyAlignment="1">
      <alignment wrapText="1"/>
    </xf>
    <xf numFmtId="164" fontId="13" fillId="0" borderId="0" xfId="0" applyNumberFormat="1" applyFont="1" applyFill="1" applyBorder="1"/>
    <xf numFmtId="0" fontId="13" fillId="0" borderId="0" xfId="0" applyFont="1" applyFill="1"/>
    <xf numFmtId="164" fontId="13" fillId="0" borderId="0" xfId="0" applyNumberFormat="1" applyFont="1" applyFill="1"/>
    <xf numFmtId="164" fontId="3" fillId="2" borderId="3" xfId="2" applyNumberFormat="1" applyFont="1" applyFill="1" applyBorder="1" applyAlignment="1">
      <alignment horizontal="right" vertical="center" wrapText="1"/>
    </xf>
    <xf numFmtId="164" fontId="3" fillId="0" borderId="2" xfId="2" applyNumberFormat="1" applyFont="1" applyFill="1" applyBorder="1" applyAlignment="1">
      <alignment horizontal="right" vertical="center" wrapText="1"/>
    </xf>
    <xf numFmtId="164" fontId="3" fillId="0" borderId="3" xfId="2" applyNumberFormat="1" applyFont="1" applyFill="1" applyBorder="1" applyAlignment="1">
      <alignment horizontal="right" vertical="center" wrapText="1"/>
    </xf>
    <xf numFmtId="164" fontId="3" fillId="2" borderId="2" xfId="2" applyNumberFormat="1" applyFont="1" applyFill="1" applyBorder="1" applyAlignment="1">
      <alignment horizontal="right" vertical="center" wrapText="1"/>
    </xf>
    <xf numFmtId="164" fontId="5" fillId="0" borderId="3" xfId="2" applyNumberFormat="1" applyFont="1" applyFill="1" applyBorder="1" applyAlignment="1">
      <alignment horizontal="right" vertical="center" wrapText="1"/>
    </xf>
    <xf numFmtId="164" fontId="5" fillId="0" borderId="1" xfId="2" applyNumberFormat="1" applyFont="1" applyFill="1" applyBorder="1" applyAlignment="1">
      <alignment horizontal="right" vertical="center" wrapText="1"/>
    </xf>
    <xf numFmtId="164" fontId="5" fillId="2" borderId="3" xfId="2" applyNumberFormat="1" applyFont="1" applyFill="1" applyBorder="1" applyAlignment="1">
      <alignment horizontal="right" vertical="center" wrapText="1"/>
    </xf>
    <xf numFmtId="3" fontId="13" fillId="0" borderId="2" xfId="0" applyNumberFormat="1" applyFont="1" applyFill="1" applyBorder="1" applyAlignment="1">
      <alignment horizontal="right" vertical="center"/>
    </xf>
    <xf numFmtId="3" fontId="13" fillId="0" borderId="3" xfId="0" applyNumberFormat="1" applyFont="1" applyFill="1" applyBorder="1" applyAlignment="1">
      <alignment horizontal="right" vertical="center"/>
    </xf>
    <xf numFmtId="3" fontId="13" fillId="0" borderId="10" xfId="0" applyNumberFormat="1" applyFont="1" applyFill="1" applyBorder="1" applyAlignment="1">
      <alignment horizontal="right" vertical="center"/>
    </xf>
    <xf numFmtId="167" fontId="13" fillId="0" borderId="0" xfId="0" applyNumberFormat="1" applyFont="1"/>
    <xf numFmtId="168" fontId="13" fillId="0" borderId="0" xfId="0" applyNumberFormat="1" applyFont="1"/>
    <xf numFmtId="0" fontId="17" fillId="0" borderId="0" xfId="0" applyFont="1"/>
    <xf numFmtId="164" fontId="3" fillId="0" borderId="0" xfId="2" applyNumberFormat="1" applyFont="1" applyFill="1" applyBorder="1" applyAlignment="1">
      <alignment vertical="top"/>
    </xf>
    <xf numFmtId="164" fontId="3" fillId="0" borderId="0" xfId="2" applyNumberFormat="1" applyFont="1" applyFill="1" applyBorder="1" applyAlignment="1">
      <alignment horizontal="right" vertical="top"/>
    </xf>
    <xf numFmtId="164" fontId="5" fillId="0" borderId="0" xfId="2" applyNumberFormat="1" applyFont="1" applyFill="1" applyBorder="1" applyAlignment="1">
      <alignment vertical="top"/>
    </xf>
    <xf numFmtId="164" fontId="5" fillId="0" borderId="0" xfId="2" applyNumberFormat="1" applyFont="1" applyFill="1" applyBorder="1" applyAlignment="1">
      <alignment horizontal="right" vertical="top"/>
    </xf>
    <xf numFmtId="164" fontId="6" fillId="0" borderId="0" xfId="2" applyNumberFormat="1" applyFont="1" applyFill="1" applyBorder="1" applyAlignment="1">
      <alignment horizontal="right" vertical="top"/>
    </xf>
    <xf numFmtId="164" fontId="3" fillId="0" borderId="0" xfId="2" applyNumberFormat="1" applyFont="1" applyFill="1" applyBorder="1" applyAlignment="1">
      <alignment horizontal="left" vertical="top"/>
    </xf>
    <xf numFmtId="164" fontId="4" fillId="0" borderId="0" xfId="2" applyNumberFormat="1" applyFont="1" applyFill="1" applyBorder="1" applyAlignment="1"/>
    <xf numFmtId="0" fontId="13" fillId="0" borderId="0" xfId="0" applyFont="1" applyBorder="1" applyAlignment="1"/>
    <xf numFmtId="168" fontId="9" fillId="0" borderId="0" xfId="1" applyNumberFormat="1" applyFont="1" applyFill="1">
      <alignment vertical="center"/>
    </xf>
    <xf numFmtId="164" fontId="3" fillId="6" borderId="6" xfId="2" applyNumberFormat="1" applyFont="1" applyFill="1" applyBorder="1" applyAlignment="1">
      <alignment vertical="top" wrapText="1"/>
    </xf>
    <xf numFmtId="164" fontId="4" fillId="0" borderId="0" xfId="2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 vertical="center" wrapText="1"/>
    </xf>
    <xf numFmtId="164" fontId="6" fillId="2" borderId="3" xfId="2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3" fillId="0" borderId="0" xfId="0" applyFont="1" applyBorder="1" applyAlignment="1">
      <alignment horizontal="justify" vertical="center"/>
    </xf>
    <xf numFmtId="0" fontId="14" fillId="7" borderId="0" xfId="0" applyFont="1" applyFill="1" applyBorder="1" applyAlignment="1">
      <alignment horizontal="center" vertical="center" wrapText="1"/>
    </xf>
    <xf numFmtId="0" fontId="17" fillId="0" borderId="0" xfId="0" applyFont="1" applyBorder="1"/>
    <xf numFmtId="164" fontId="3" fillId="0" borderId="3" xfId="2" applyNumberFormat="1" applyFont="1" applyFill="1" applyBorder="1" applyAlignment="1">
      <alignment vertical="top" wrapText="1"/>
    </xf>
    <xf numFmtId="164" fontId="3" fillId="0" borderId="5" xfId="2" applyNumberFormat="1" applyFont="1" applyFill="1" applyBorder="1" applyAlignment="1">
      <alignment vertical="top" wrapText="1"/>
    </xf>
    <xf numFmtId="164" fontId="5" fillId="0" borderId="3" xfId="2" applyNumberFormat="1" applyFont="1" applyFill="1" applyBorder="1" applyAlignment="1">
      <alignment vertical="top" wrapText="1"/>
    </xf>
    <xf numFmtId="164" fontId="3" fillId="0" borderId="4" xfId="2" applyNumberFormat="1" applyFont="1" applyFill="1" applyBorder="1" applyAlignment="1">
      <alignment vertical="top" wrapText="1"/>
    </xf>
    <xf numFmtId="164" fontId="5" fillId="0" borderId="1" xfId="2" applyNumberFormat="1" applyFont="1" applyFill="1" applyBorder="1" applyAlignment="1">
      <alignment vertical="top" wrapText="1"/>
    </xf>
    <xf numFmtId="164" fontId="3" fillId="0" borderId="6" xfId="2" applyNumberFormat="1" applyFont="1" applyFill="1" applyBorder="1" applyAlignment="1">
      <alignment vertical="top" wrapText="1"/>
    </xf>
    <xf numFmtId="164" fontId="5" fillId="0" borderId="7" xfId="2" applyNumberFormat="1" applyFont="1" applyFill="1" applyBorder="1" applyAlignment="1">
      <alignment vertical="top" wrapText="1"/>
    </xf>
    <xf numFmtId="0" fontId="17" fillId="0" borderId="0" xfId="0" applyFont="1" applyFill="1"/>
    <xf numFmtId="0" fontId="13" fillId="0" borderId="0" xfId="0" applyFont="1" applyFill="1" applyAlignment="1"/>
    <xf numFmtId="164" fontId="3" fillId="0" borderId="5" xfId="2" applyNumberFormat="1" applyFont="1" applyFill="1" applyBorder="1" applyAlignment="1">
      <alignment vertical="top"/>
    </xf>
    <xf numFmtId="164" fontId="3" fillId="0" borderId="3" xfId="2" applyNumberFormat="1" applyFont="1" applyFill="1" applyBorder="1" applyAlignment="1">
      <alignment vertical="top"/>
    </xf>
    <xf numFmtId="164" fontId="5" fillId="0" borderId="1" xfId="2" applyNumberFormat="1" applyFont="1" applyFill="1" applyBorder="1" applyAlignment="1">
      <alignment vertical="top"/>
    </xf>
    <xf numFmtId="0" fontId="13" fillId="0" borderId="0" xfId="0" applyFont="1" applyFill="1" applyAlignment="1">
      <alignment wrapText="1"/>
    </xf>
    <xf numFmtId="0" fontId="6" fillId="0" borderId="11" xfId="0" applyFont="1" applyFill="1" applyBorder="1" applyAlignment="1">
      <alignment horizontal="left" vertical="center" wrapText="1" indent="1"/>
    </xf>
    <xf numFmtId="164" fontId="6" fillId="0" borderId="3" xfId="2" applyNumberFormat="1" applyFont="1" applyFill="1" applyBorder="1" applyAlignment="1">
      <alignment vertical="top" wrapText="1"/>
    </xf>
    <xf numFmtId="0" fontId="18" fillId="8" borderId="12" xfId="0" applyFont="1" applyFill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9" fillId="8" borderId="12" xfId="0" applyFont="1" applyFill="1" applyBorder="1" applyAlignment="1">
      <alignment horizontal="left" vertical="center"/>
    </xf>
    <xf numFmtId="0" fontId="18" fillId="8" borderId="12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 indent="1"/>
    </xf>
    <xf numFmtId="0" fontId="19" fillId="8" borderId="12" xfId="0" applyFont="1" applyFill="1" applyBorder="1" applyAlignment="1">
      <alignment horizontal="justify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9" borderId="12" xfId="0" applyFont="1" applyFill="1" applyBorder="1" applyAlignment="1">
      <alignment horizontal="justify" vertical="center" wrapText="1"/>
    </xf>
    <xf numFmtId="0" fontId="18" fillId="0" borderId="12" xfId="0" applyFont="1" applyBorder="1" applyAlignment="1">
      <alignment horizontal="justify" vertical="center" wrapText="1"/>
    </xf>
    <xf numFmtId="0" fontId="18" fillId="0" borderId="12" xfId="0" applyFont="1" applyBorder="1" applyAlignment="1">
      <alignment horizontal="left" vertical="center" indent="1"/>
    </xf>
    <xf numFmtId="164" fontId="4" fillId="2" borderId="0" xfId="2" applyNumberFormat="1" applyFont="1" applyFill="1" applyBorder="1" applyAlignment="1">
      <alignment vertical="top" wrapText="1"/>
    </xf>
    <xf numFmtId="164" fontId="13" fillId="0" borderId="0" xfId="0" applyNumberFormat="1" applyFont="1" applyBorder="1"/>
    <xf numFmtId="164" fontId="16" fillId="8" borderId="12" xfId="0" applyNumberFormat="1" applyFont="1" applyFill="1" applyBorder="1" applyAlignment="1">
      <alignment horizontal="right" vertical="center"/>
    </xf>
    <xf numFmtId="164" fontId="0" fillId="0" borderId="0" xfId="0" applyNumberFormat="1" applyBorder="1"/>
    <xf numFmtId="164" fontId="18" fillId="9" borderId="12" xfId="0" applyNumberFormat="1" applyFont="1" applyFill="1" applyBorder="1" applyAlignment="1">
      <alignment horizontal="justify" vertical="center" wrapText="1"/>
    </xf>
    <xf numFmtId="164" fontId="0" fillId="0" borderId="0" xfId="0" applyNumberFormat="1"/>
    <xf numFmtId="164" fontId="16" fillId="0" borderId="12" xfId="0" applyNumberFormat="1" applyFont="1" applyBorder="1" applyAlignment="1">
      <alignment horizontal="right" vertical="center"/>
    </xf>
    <xf numFmtId="164" fontId="18" fillId="0" borderId="12" xfId="0" applyNumberFormat="1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>
      <alignment horizontal="right" vertical="center"/>
    </xf>
    <xf numFmtId="164" fontId="18" fillId="0" borderId="12" xfId="0" applyNumberFormat="1" applyFont="1" applyBorder="1" applyAlignment="1">
      <alignment horizontal="justify" vertical="center" wrapText="1"/>
    </xf>
    <xf numFmtId="164" fontId="20" fillId="8" borderId="12" xfId="0" applyNumberFormat="1" applyFont="1" applyFill="1" applyBorder="1" applyAlignment="1">
      <alignment horizontal="right" vertical="center"/>
    </xf>
    <xf numFmtId="164" fontId="18" fillId="8" borderId="12" xfId="0" applyNumberFormat="1" applyFont="1" applyFill="1" applyBorder="1" applyAlignment="1">
      <alignment horizontal="right" vertical="center"/>
    </xf>
    <xf numFmtId="164" fontId="18" fillId="8" borderId="12" xfId="0" applyNumberFormat="1" applyFont="1" applyFill="1" applyBorder="1" applyAlignment="1">
      <alignment horizontal="left" vertical="center" wrapText="1"/>
    </xf>
    <xf numFmtId="164" fontId="18" fillId="0" borderId="12" xfId="0" applyNumberFormat="1" applyFont="1" applyBorder="1" applyAlignment="1">
      <alignment horizontal="right" vertical="center"/>
    </xf>
    <xf numFmtId="164" fontId="19" fillId="8" borderId="12" xfId="0" applyNumberFormat="1" applyFont="1" applyFill="1" applyBorder="1" applyAlignment="1">
      <alignment horizontal="right" vertical="center"/>
    </xf>
    <xf numFmtId="164" fontId="19" fillId="8" borderId="12" xfId="0" applyNumberFormat="1" applyFont="1" applyFill="1" applyBorder="1" applyAlignment="1">
      <alignment horizontal="justify" vertical="center" wrapText="1"/>
    </xf>
    <xf numFmtId="164" fontId="6" fillId="0" borderId="12" xfId="0" applyNumberFormat="1" applyFont="1" applyBorder="1" applyAlignment="1">
      <alignment horizontal="right" vertical="center"/>
    </xf>
    <xf numFmtId="3" fontId="13" fillId="0" borderId="0" xfId="0" applyNumberFormat="1" applyFont="1" applyFill="1"/>
    <xf numFmtId="3" fontId="13" fillId="0" borderId="0" xfId="0" applyNumberFormat="1" applyFont="1" applyFill="1" applyBorder="1"/>
    <xf numFmtId="164" fontId="3" fillId="0" borderId="0" xfId="2" applyNumberFormat="1" applyFont="1" applyFill="1" applyBorder="1" applyAlignment="1">
      <alignment horizontal="right" vertical="top" wrapText="1"/>
    </xf>
    <xf numFmtId="3" fontId="13" fillId="0" borderId="0" xfId="0" applyNumberFormat="1" applyFont="1" applyBorder="1"/>
    <xf numFmtId="164" fontId="3" fillId="0" borderId="3" xfId="2" applyNumberFormat="1" applyFont="1" applyFill="1" applyBorder="1" applyAlignment="1">
      <alignment horizontal="left" vertical="top" wrapText="1"/>
    </xf>
    <xf numFmtId="164" fontId="4" fillId="0" borderId="4" xfId="2" applyNumberFormat="1" applyFont="1" applyFill="1" applyBorder="1" applyAlignment="1">
      <alignment vertical="top" wrapText="1"/>
    </xf>
    <xf numFmtId="164" fontId="6" fillId="0" borderId="4" xfId="2" applyNumberFormat="1" applyFont="1" applyFill="1" applyBorder="1" applyAlignment="1">
      <alignment horizontal="right" vertical="top"/>
    </xf>
    <xf numFmtId="164" fontId="4" fillId="0" borderId="1" xfId="2" applyNumberFormat="1" applyFont="1" applyFill="1" applyBorder="1" applyAlignment="1">
      <alignment vertical="top" wrapText="1"/>
    </xf>
    <xf numFmtId="165" fontId="4" fillId="0" borderId="1" xfId="2" applyNumberFormat="1" applyFont="1" applyFill="1" applyBorder="1" applyAlignment="1">
      <alignment horizontal="right" vertical="top"/>
    </xf>
    <xf numFmtId="164" fontId="18" fillId="0" borderId="12" xfId="0" applyNumberFormat="1" applyFont="1" applyFill="1" applyBorder="1" applyAlignment="1">
      <alignment horizontal="left" vertical="center" wrapText="1" indent="1"/>
    </xf>
    <xf numFmtId="164" fontId="18" fillId="0" borderId="12" xfId="0" applyNumberFormat="1" applyFont="1" applyFill="1" applyBorder="1" applyAlignment="1">
      <alignment horizontal="right" vertical="center"/>
    </xf>
    <xf numFmtId="0" fontId="18" fillId="0" borderId="12" xfId="0" applyFont="1" applyFill="1" applyBorder="1" applyAlignment="1">
      <alignment horizontal="left" vertical="center" wrapText="1" inden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indent="1"/>
    </xf>
    <xf numFmtId="164" fontId="16" fillId="0" borderId="12" xfId="0" applyNumberFormat="1" applyFont="1" applyFill="1" applyBorder="1" applyAlignment="1">
      <alignment horizontal="right" vertical="center"/>
    </xf>
    <xf numFmtId="164" fontId="16" fillId="0" borderId="12" xfId="0" applyNumberFormat="1" applyFont="1" applyFill="1" applyBorder="1" applyAlignment="1">
      <alignment horizontal="center" vertical="center"/>
    </xf>
    <xf numFmtId="164" fontId="0" fillId="0" borderId="0" xfId="0" applyNumberFormat="1" applyFill="1"/>
    <xf numFmtId="0" fontId="0" fillId="0" borderId="0" xfId="0" applyFill="1"/>
    <xf numFmtId="0" fontId="18" fillId="0" borderId="0" xfId="0" applyFont="1" applyFill="1" applyBorder="1" applyAlignment="1">
      <alignment horizontal="left" vertical="center" wrapText="1" indent="1"/>
    </xf>
    <xf numFmtId="164" fontId="5" fillId="10" borderId="3" xfId="2" applyNumberFormat="1" applyFont="1" applyFill="1" applyBorder="1" applyAlignment="1">
      <alignment vertical="top" wrapText="1"/>
    </xf>
    <xf numFmtId="164" fontId="3" fillId="10" borderId="3" xfId="2" applyNumberFormat="1" applyFont="1" applyFill="1" applyBorder="1" applyAlignment="1">
      <alignment vertical="top" wrapText="1"/>
    </xf>
    <xf numFmtId="164" fontId="4" fillId="10" borderId="1" xfId="2" applyNumberFormat="1" applyFont="1" applyFill="1" applyBorder="1" applyAlignment="1">
      <alignment horizontal="left" vertical="top" wrapText="1"/>
    </xf>
    <xf numFmtId="164" fontId="6" fillId="10" borderId="1" xfId="2" applyNumberFormat="1" applyFont="1" applyFill="1" applyBorder="1" applyAlignment="1">
      <alignment vertical="top" wrapText="1"/>
    </xf>
    <xf numFmtId="164" fontId="6" fillId="10" borderId="1" xfId="2" applyNumberFormat="1" applyFont="1" applyFill="1" applyBorder="1" applyAlignment="1">
      <alignment horizontal="left" vertical="top" wrapText="1"/>
    </xf>
    <xf numFmtId="164" fontId="6" fillId="10" borderId="3" xfId="2" applyNumberFormat="1" applyFont="1" applyFill="1" applyBorder="1" applyAlignment="1">
      <alignment vertical="top" wrapText="1"/>
    </xf>
    <xf numFmtId="164" fontId="4" fillId="10" borderId="3" xfId="2" applyNumberFormat="1" applyFont="1" applyFill="1" applyBorder="1" applyAlignment="1">
      <alignment vertical="top" wrapText="1"/>
    </xf>
    <xf numFmtId="0" fontId="14" fillId="7" borderId="0" xfId="0" applyFont="1" applyFill="1" applyBorder="1" applyAlignment="1">
      <alignment horizontal="right" vertical="center" wrapText="1"/>
    </xf>
    <xf numFmtId="0" fontId="21" fillId="7" borderId="0" xfId="0" applyFont="1" applyFill="1" applyBorder="1" applyAlignment="1">
      <alignment horizontal="left" vertical="center" wrapText="1"/>
    </xf>
    <xf numFmtId="0" fontId="22" fillId="0" borderId="0" xfId="0" applyFont="1"/>
    <xf numFmtId="0" fontId="23" fillId="0" borderId="0" xfId="0" applyFont="1"/>
    <xf numFmtId="164" fontId="5" fillId="0" borderId="6" xfId="2" applyNumberFormat="1" applyFont="1" applyFill="1" applyBorder="1" applyAlignment="1">
      <alignment vertical="top" wrapText="1"/>
    </xf>
    <xf numFmtId="164" fontId="3" fillId="0" borderId="8" xfId="2" applyNumberFormat="1" applyFont="1" applyFill="1" applyBorder="1" applyAlignment="1">
      <alignment vertical="top" wrapText="1"/>
    </xf>
    <xf numFmtId="164" fontId="3" fillId="0" borderId="9" xfId="2" applyNumberFormat="1" applyFont="1" applyFill="1" applyBorder="1" applyAlignment="1">
      <alignment vertical="top" wrapText="1"/>
    </xf>
    <xf numFmtId="164" fontId="3" fillId="0" borderId="6" xfId="2" applyNumberFormat="1" applyFont="1" applyFill="1" applyBorder="1" applyAlignment="1">
      <alignment horizontal="left" vertical="top" wrapText="1" indent="2"/>
    </xf>
    <xf numFmtId="164" fontId="19" fillId="0" borderId="0" xfId="0" applyNumberFormat="1" applyFont="1" applyFill="1" applyBorder="1" applyAlignment="1">
      <alignment horizontal="justify" vertical="center" wrapText="1"/>
    </xf>
    <xf numFmtId="164" fontId="20" fillId="0" borderId="0" xfId="0" applyNumberFormat="1" applyFont="1" applyFill="1" applyBorder="1" applyAlignment="1">
      <alignment horizontal="right" vertical="center"/>
    </xf>
    <xf numFmtId="0" fontId="13" fillId="0" borderId="13" xfId="0" applyFont="1" applyBorder="1" applyAlignment="1">
      <alignment horizontal="left" vertical="center" wrapText="1"/>
    </xf>
    <xf numFmtId="166" fontId="13" fillId="0" borderId="1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 indent="4"/>
    </xf>
    <xf numFmtId="0" fontId="13" fillId="0" borderId="13" xfId="0" applyFont="1" applyBorder="1" applyAlignment="1">
      <alignment horizontal="left" vertical="center" wrapText="1" indent="4"/>
    </xf>
    <xf numFmtId="166" fontId="18" fillId="0" borderId="13" xfId="0" applyNumberFormat="1" applyFont="1" applyBorder="1" applyAlignment="1">
      <alignment horizontal="right" vertical="center" wrapText="1"/>
    </xf>
    <xf numFmtId="0" fontId="18" fillId="0" borderId="13" xfId="0" applyFont="1" applyBorder="1" applyAlignment="1">
      <alignment horizontal="left" vertical="center" wrapText="1"/>
    </xf>
    <xf numFmtId="0" fontId="24" fillId="9" borderId="13" xfId="0" applyFont="1" applyFill="1" applyBorder="1" applyAlignment="1">
      <alignment horizontal="left" vertical="center" wrapText="1"/>
    </xf>
    <xf numFmtId="0" fontId="25" fillId="9" borderId="13" xfId="0" applyFont="1" applyFill="1" applyBorder="1" applyAlignment="1">
      <alignment horizontal="left" vertical="center" wrapText="1"/>
    </xf>
    <xf numFmtId="0" fontId="21" fillId="7" borderId="0" xfId="0" applyFont="1" applyFill="1" applyBorder="1" applyAlignment="1">
      <alignment horizontal="center" vertical="center" wrapText="1"/>
    </xf>
    <xf numFmtId="0" fontId="21" fillId="7" borderId="0" xfId="0" applyFont="1" applyFill="1" applyBorder="1" applyAlignment="1">
      <alignment horizontal="right" vertical="center" wrapText="1"/>
    </xf>
    <xf numFmtId="0" fontId="24" fillId="0" borderId="0" xfId="0" applyFont="1"/>
    <xf numFmtId="0" fontId="24" fillId="0" borderId="0" xfId="0" applyFont="1" applyBorder="1"/>
    <xf numFmtId="0" fontId="21" fillId="7" borderId="0" xfId="0" applyFont="1" applyFill="1" applyBorder="1" applyAlignment="1">
      <alignment vertical="center" wrapText="1"/>
    </xf>
    <xf numFmtId="0" fontId="12" fillId="0" borderId="0" xfId="0" applyFont="1" applyBorder="1"/>
    <xf numFmtId="0" fontId="12" fillId="0" borderId="0" xfId="0" applyFont="1"/>
    <xf numFmtId="164" fontId="12" fillId="0" borderId="0" xfId="0" applyNumberFormat="1" applyFont="1"/>
    <xf numFmtId="0" fontId="21" fillId="7" borderId="14" xfId="0" applyFont="1" applyFill="1" applyBorder="1" applyAlignment="1">
      <alignment horizontal="left" vertical="center" wrapText="1"/>
    </xf>
    <xf numFmtId="0" fontId="26" fillId="7" borderId="14" xfId="0" applyFont="1" applyFill="1" applyBorder="1" applyAlignment="1">
      <alignment vertical="center" wrapText="1"/>
    </xf>
    <xf numFmtId="0" fontId="24" fillId="0" borderId="0" xfId="0" applyFont="1" applyFill="1"/>
    <xf numFmtId="3" fontId="24" fillId="0" borderId="0" xfId="0" applyNumberFormat="1" applyFont="1" applyFill="1"/>
    <xf numFmtId="3" fontId="0" fillId="0" borderId="0" xfId="0" applyNumberFormat="1" applyBorder="1"/>
    <xf numFmtId="3" fontId="0" fillId="0" borderId="0" xfId="0" applyNumberFormat="1" applyFill="1" applyBorder="1"/>
    <xf numFmtId="164" fontId="4" fillId="0" borderId="3" xfId="2" applyNumberFormat="1" applyFont="1" applyFill="1" applyBorder="1" applyAlignment="1">
      <alignment vertical="top" wrapText="1"/>
    </xf>
    <xf numFmtId="10" fontId="24" fillId="9" borderId="13" xfId="0" applyNumberFormat="1" applyFont="1" applyFill="1" applyBorder="1" applyAlignment="1">
      <alignment horizontal="right" vertical="center" wrapText="1"/>
    </xf>
    <xf numFmtId="10" fontId="18" fillId="0" borderId="13" xfId="0" applyNumberFormat="1" applyFont="1" applyBorder="1" applyAlignment="1">
      <alignment horizontal="right" vertical="center" wrapText="1"/>
    </xf>
    <xf numFmtId="10" fontId="13" fillId="0" borderId="13" xfId="0" applyNumberFormat="1" applyFont="1" applyBorder="1" applyAlignment="1">
      <alignment horizontal="right" vertical="center" wrapText="1"/>
    </xf>
    <xf numFmtId="0" fontId="18" fillId="0" borderId="13" xfId="0" quotePrefix="1" applyFont="1" applyBorder="1" applyAlignment="1">
      <alignment horizontal="right" vertical="center" wrapText="1"/>
    </xf>
    <xf numFmtId="0" fontId="13" fillId="0" borderId="13" xfId="0" quotePrefix="1" applyFont="1" applyBorder="1" applyAlignment="1">
      <alignment horizontal="right" vertical="center" wrapText="1"/>
    </xf>
    <xf numFmtId="10" fontId="25" fillId="9" borderId="13" xfId="0" applyNumberFormat="1" applyFont="1" applyFill="1" applyBorder="1" applyAlignment="1">
      <alignment horizontal="right" vertical="center" wrapText="1"/>
    </xf>
    <xf numFmtId="10" fontId="22" fillId="0" borderId="0" xfId="0" applyNumberFormat="1" applyFont="1"/>
    <xf numFmtId="3" fontId="27" fillId="0" borderId="0" xfId="0" applyNumberFormat="1" applyFont="1"/>
    <xf numFmtId="0" fontId="30" fillId="0" borderId="0" xfId="0" applyFont="1" applyFill="1" applyBorder="1" applyAlignment="1">
      <alignment vertical="center" wrapText="1"/>
    </xf>
    <xf numFmtId="0" fontId="31" fillId="0" borderId="0" xfId="0" applyFont="1"/>
    <xf numFmtId="0" fontId="32" fillId="7" borderId="0" xfId="0" applyFont="1" applyFill="1" applyBorder="1" applyAlignment="1">
      <alignment horizontal="left" vertical="center" wrapText="1"/>
    </xf>
    <xf numFmtId="0" fontId="32" fillId="7" borderId="0" xfId="0" applyFont="1" applyFill="1" applyBorder="1" applyAlignment="1">
      <alignment horizontal="center" vertical="center" wrapText="1"/>
    </xf>
    <xf numFmtId="0" fontId="22" fillId="9" borderId="15" xfId="0" applyFont="1" applyFill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 indent="2"/>
    </xf>
    <xf numFmtId="0" fontId="22" fillId="8" borderId="15" xfId="0" applyFont="1" applyFill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 indent="2"/>
    </xf>
    <xf numFmtId="0" fontId="30" fillId="8" borderId="0" xfId="0" applyFont="1" applyFill="1" applyBorder="1" applyAlignment="1">
      <alignment vertical="center" wrapText="1"/>
    </xf>
    <xf numFmtId="0" fontId="22" fillId="0" borderId="0" xfId="0" applyFont="1" applyFill="1" applyBorder="1"/>
    <xf numFmtId="164" fontId="27" fillId="0" borderId="0" xfId="2" applyNumberFormat="1" applyFont="1" applyFill="1" applyBorder="1" applyAlignment="1">
      <alignment horizontal="right" vertical="center" wrapText="1"/>
    </xf>
    <xf numFmtId="0" fontId="28" fillId="8" borderId="15" xfId="0" applyFont="1" applyFill="1" applyBorder="1" applyAlignment="1">
      <alignment horizontal="left" vertical="center" wrapText="1"/>
    </xf>
    <xf numFmtId="0" fontId="30" fillId="8" borderId="15" xfId="0" applyFont="1" applyFill="1" applyBorder="1" applyAlignment="1">
      <alignment vertical="center" wrapText="1"/>
    </xf>
    <xf numFmtId="3" fontId="22" fillId="0" borderId="0" xfId="0" applyNumberFormat="1" applyFont="1"/>
    <xf numFmtId="0" fontId="34" fillId="11" borderId="0" xfId="0" applyFont="1" applyFill="1" applyBorder="1" applyAlignment="1">
      <alignment horizontal="left" vertical="center" wrapText="1" indent="2"/>
    </xf>
    <xf numFmtId="0" fontId="22" fillId="0" borderId="0" xfId="0" applyFont="1" applyBorder="1"/>
    <xf numFmtId="0" fontId="22" fillId="2" borderId="0" xfId="0" applyFont="1" applyFill="1" applyBorder="1"/>
    <xf numFmtId="164" fontId="27" fillId="2" borderId="0" xfId="4" applyNumberFormat="1" applyFont="1" applyFill="1" applyBorder="1" applyAlignment="1" applyProtection="1">
      <alignment horizontal="right" vertical="center" wrapText="1"/>
      <protection locked="0"/>
    </xf>
    <xf numFmtId="0" fontId="22" fillId="0" borderId="0" xfId="0" applyFont="1" applyBorder="1" applyAlignment="1">
      <alignment horizontal="left" vertical="center" wrapText="1" indent="2"/>
    </xf>
    <xf numFmtId="0" fontId="27" fillId="0" borderId="0" xfId="0" applyFont="1" applyBorder="1"/>
    <xf numFmtId="164" fontId="27" fillId="0" borderId="0" xfId="4" applyNumberFormat="1" applyFont="1" applyFill="1" applyBorder="1" applyAlignment="1" applyProtection="1">
      <alignment horizontal="right" vertical="center" wrapText="1"/>
      <protection locked="0"/>
    </xf>
    <xf numFmtId="164" fontId="28" fillId="9" borderId="15" xfId="0" applyNumberFormat="1" applyFont="1" applyFill="1" applyBorder="1" applyAlignment="1">
      <alignment horizontal="right" vertical="center" wrapText="1"/>
    </xf>
    <xf numFmtId="164" fontId="28" fillId="0" borderId="15" xfId="0" applyNumberFormat="1" applyFont="1" applyBorder="1" applyAlignment="1">
      <alignment horizontal="right" vertical="center" wrapText="1"/>
    </xf>
    <xf numFmtId="164" fontId="29" fillId="8" borderId="15" xfId="0" applyNumberFormat="1" applyFont="1" applyFill="1" applyBorder="1" applyAlignment="1">
      <alignment horizontal="right" vertical="center" wrapText="1"/>
    </xf>
    <xf numFmtId="164" fontId="29" fillId="0" borderId="15" xfId="0" applyNumberFormat="1" applyFont="1" applyBorder="1" applyAlignment="1">
      <alignment horizontal="right" vertical="center" wrapText="1"/>
    </xf>
    <xf numFmtId="164" fontId="30" fillId="8" borderId="0" xfId="0" applyNumberFormat="1" applyFont="1" applyFill="1" applyBorder="1" applyAlignment="1">
      <alignment horizontal="right" vertical="center" wrapText="1"/>
    </xf>
    <xf numFmtId="164" fontId="30" fillId="0" borderId="0" xfId="0" applyNumberFormat="1" applyFont="1" applyFill="1" applyBorder="1" applyAlignment="1">
      <alignment horizontal="right" vertical="center" wrapText="1"/>
    </xf>
    <xf numFmtId="164" fontId="22" fillId="0" borderId="0" xfId="0" applyNumberFormat="1" applyFont="1"/>
    <xf numFmtId="164" fontId="22" fillId="0" borderId="0" xfId="0" applyNumberFormat="1" applyFont="1" applyFill="1"/>
    <xf numFmtId="164" fontId="28" fillId="8" borderId="15" xfId="0" applyNumberFormat="1" applyFont="1" applyFill="1" applyBorder="1" applyAlignment="1">
      <alignment horizontal="right" vertical="center" wrapText="1"/>
    </xf>
    <xf numFmtId="164" fontId="30" fillId="8" borderId="15" xfId="0" applyNumberFormat="1" applyFont="1" applyFill="1" applyBorder="1" applyAlignment="1">
      <alignment horizontal="right" vertical="center" wrapText="1"/>
    </xf>
    <xf numFmtId="164" fontId="32" fillId="7" borderId="0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 applyBorder="1"/>
    <xf numFmtId="164" fontId="28" fillId="0" borderId="0" xfId="0" applyNumberFormat="1" applyFont="1" applyBorder="1" applyAlignment="1">
      <alignment horizontal="right" vertical="center" wrapText="1"/>
    </xf>
    <xf numFmtId="164" fontId="28" fillId="8" borderId="15" xfId="0" applyNumberFormat="1" applyFont="1" applyFill="1" applyBorder="1" applyAlignment="1">
      <alignment horizontal="left" vertical="center" wrapText="1"/>
    </xf>
    <xf numFmtId="164" fontId="28" fillId="12" borderId="15" xfId="0" applyNumberFormat="1" applyFont="1" applyFill="1" applyBorder="1" applyAlignment="1">
      <alignment horizontal="right" vertical="center" wrapText="1"/>
    </xf>
    <xf numFmtId="164" fontId="30" fillId="12" borderId="0" xfId="0" applyNumberFormat="1" applyFont="1" applyFill="1" applyBorder="1" applyAlignment="1">
      <alignment horizontal="right" vertical="center" wrapText="1"/>
    </xf>
    <xf numFmtId="164" fontId="28" fillId="12" borderId="15" xfId="0" applyNumberFormat="1" applyFont="1" applyFill="1" applyBorder="1" applyAlignment="1">
      <alignment horizontal="left" vertical="center" wrapText="1"/>
    </xf>
    <xf numFmtId="169" fontId="13" fillId="0" borderId="0" xfId="5" applyNumberFormat="1" applyFont="1"/>
    <xf numFmtId="0" fontId="24" fillId="0" borderId="0" xfId="0" applyFont="1" applyFill="1" applyAlignment="1">
      <alignment horizontal="center"/>
    </xf>
    <xf numFmtId="164" fontId="3" fillId="0" borderId="0" xfId="2" applyNumberFormat="1" applyFont="1" applyFill="1" applyBorder="1" applyAlignment="1">
      <alignment horizontal="right" vertical="center" wrapText="1"/>
    </xf>
    <xf numFmtId="164" fontId="5" fillId="0" borderId="0" xfId="2" applyNumberFormat="1" applyFont="1" applyFill="1" applyBorder="1" applyAlignment="1">
      <alignment horizontal="right" vertical="top" wrapText="1"/>
    </xf>
    <xf numFmtId="0" fontId="0" fillId="0" borderId="0" xfId="0" applyFill="1" applyBorder="1"/>
    <xf numFmtId="0" fontId="21" fillId="7" borderId="0" xfId="0" applyFont="1" applyFill="1" applyAlignment="1">
      <alignment horizontal="center" vertical="center" wrapText="1"/>
    </xf>
    <xf numFmtId="164" fontId="3" fillId="0" borderId="2" xfId="2" applyNumberFormat="1" applyFont="1" applyBorder="1" applyAlignment="1">
      <alignment horizontal="right" vertical="top" wrapText="1"/>
    </xf>
    <xf numFmtId="164" fontId="3" fillId="0" borderId="3" xfId="2" applyNumberFormat="1" applyFont="1" applyBorder="1" applyAlignment="1">
      <alignment horizontal="right" vertical="top" wrapText="1"/>
    </xf>
    <xf numFmtId="164" fontId="5" fillId="0" borderId="3" xfId="2" applyNumberFormat="1" applyFont="1" applyBorder="1" applyAlignment="1">
      <alignment horizontal="right" vertical="top" wrapText="1"/>
    </xf>
    <xf numFmtId="164" fontId="6" fillId="0" borderId="3" xfId="2" applyNumberFormat="1" applyFont="1" applyBorder="1" applyAlignment="1">
      <alignment horizontal="right" vertical="top" wrapText="1"/>
    </xf>
    <xf numFmtId="164" fontId="3" fillId="0" borderId="4" xfId="2" applyNumberFormat="1" applyFont="1" applyBorder="1" applyAlignment="1">
      <alignment horizontal="right" vertical="top" wrapText="1"/>
    </xf>
    <xf numFmtId="164" fontId="3" fillId="0" borderId="5" xfId="2" applyNumberFormat="1" applyFont="1" applyBorder="1" applyAlignment="1">
      <alignment horizontal="right" vertical="top" wrapText="1"/>
    </xf>
    <xf numFmtId="164" fontId="5" fillId="0" borderId="1" xfId="2" applyNumberFormat="1" applyFont="1" applyBorder="1" applyAlignment="1">
      <alignment horizontal="right" vertical="top" wrapText="1"/>
    </xf>
    <xf numFmtId="164" fontId="6" fillId="0" borderId="4" xfId="2" applyNumberFormat="1" applyFont="1" applyBorder="1" applyAlignment="1">
      <alignment horizontal="right" vertical="top"/>
    </xf>
    <xf numFmtId="165" fontId="4" fillId="0" borderId="1" xfId="2" applyNumberFormat="1" applyFont="1" applyBorder="1" applyAlignment="1">
      <alignment horizontal="right" vertical="top"/>
    </xf>
    <xf numFmtId="0" fontId="21" fillId="7" borderId="0" xfId="0" applyFont="1" applyFill="1" applyAlignment="1">
      <alignment vertical="center" wrapText="1"/>
    </xf>
    <xf numFmtId="164" fontId="3" fillId="0" borderId="3" xfId="2" applyNumberFormat="1" applyFont="1" applyBorder="1" applyAlignment="1">
      <alignment horizontal="right" vertical="center" wrapText="1"/>
    </xf>
    <xf numFmtId="164" fontId="5" fillId="0" borderId="1" xfId="2" applyNumberFormat="1" applyFont="1" applyBorder="1" applyAlignment="1">
      <alignment horizontal="right" vertical="center" wrapText="1"/>
    </xf>
    <xf numFmtId="164" fontId="3" fillId="0" borderId="2" xfId="2" applyNumberFormat="1" applyFont="1" applyBorder="1" applyAlignment="1">
      <alignment horizontal="right" vertical="center" wrapText="1"/>
    </xf>
    <xf numFmtId="164" fontId="3" fillId="0" borderId="0" xfId="2" applyNumberFormat="1" applyFont="1" applyAlignment="1">
      <alignment horizontal="right" vertical="top" wrapText="1"/>
    </xf>
    <xf numFmtId="164" fontId="4" fillId="2" borderId="1" xfId="4" applyNumberFormat="1" applyFont="1" applyFill="1" applyBorder="1" applyAlignment="1">
      <alignment horizontal="right" vertical="center" wrapText="1"/>
    </xf>
    <xf numFmtId="164" fontId="6" fillId="0" borderId="3" xfId="4" applyNumberFormat="1" applyFont="1" applyBorder="1" applyAlignment="1" applyProtection="1">
      <alignment horizontal="right" vertical="center" wrapText="1"/>
      <protection locked="0"/>
    </xf>
    <xf numFmtId="0" fontId="21" fillId="7" borderId="0" xfId="0" applyFont="1" applyFill="1" applyAlignment="1">
      <alignment horizontal="right" vertical="center" wrapText="1"/>
    </xf>
    <xf numFmtId="164" fontId="6" fillId="0" borderId="3" xfId="2" applyNumberFormat="1" applyFont="1" applyBorder="1" applyAlignment="1">
      <alignment vertical="top" wrapText="1"/>
    </xf>
    <xf numFmtId="164" fontId="4" fillId="0" borderId="3" xfId="2" applyNumberFormat="1" applyFont="1" applyBorder="1" applyAlignment="1">
      <alignment vertical="top" wrapText="1"/>
    </xf>
    <xf numFmtId="164" fontId="4" fillId="2" borderId="0" xfId="2" applyNumberFormat="1" applyFont="1" applyFill="1" applyAlignment="1">
      <alignment vertical="top" wrapText="1"/>
    </xf>
    <xf numFmtId="0" fontId="14" fillId="7" borderId="0" xfId="0" applyFont="1" applyFill="1" applyAlignment="1">
      <alignment horizontal="right" vertical="center" wrapText="1"/>
    </xf>
    <xf numFmtId="0" fontId="32" fillId="7" borderId="0" xfId="0" applyFont="1" applyFill="1" applyAlignment="1">
      <alignment horizontal="center" vertical="center" wrapText="1"/>
    </xf>
    <xf numFmtId="164" fontId="30" fillId="8" borderId="0" xfId="0" applyNumberFormat="1" applyFont="1" applyFill="1" applyAlignment="1">
      <alignment horizontal="right" vertical="center" wrapText="1"/>
    </xf>
    <xf numFmtId="164" fontId="30" fillId="0" borderId="0" xfId="0" applyNumberFormat="1" applyFont="1" applyAlignment="1">
      <alignment horizontal="right" vertical="center" wrapText="1"/>
    </xf>
    <xf numFmtId="164" fontId="27" fillId="0" borderId="0" xfId="2" applyNumberFormat="1" applyFont="1" applyAlignment="1">
      <alignment horizontal="right" vertical="center" wrapText="1"/>
    </xf>
    <xf numFmtId="164" fontId="32" fillId="7" borderId="0" xfId="0" applyNumberFormat="1" applyFont="1" applyFill="1" applyAlignment="1">
      <alignment horizontal="center" vertical="center" wrapText="1"/>
    </xf>
    <xf numFmtId="164" fontId="28" fillId="0" borderId="0" xfId="0" applyNumberFormat="1" applyFont="1" applyAlignment="1">
      <alignment horizontal="right" vertical="center" wrapText="1"/>
    </xf>
    <xf numFmtId="0" fontId="21" fillId="7" borderId="0" xfId="0" applyFont="1" applyFill="1" applyAlignment="1">
      <alignment horizontal="left" vertical="center" wrapText="1"/>
    </xf>
    <xf numFmtId="164" fontId="6" fillId="0" borderId="3" xfId="2" applyNumberFormat="1" applyFont="1" applyBorder="1" applyAlignment="1">
      <alignment vertical="center" wrapText="1"/>
    </xf>
    <xf numFmtId="164" fontId="6" fillId="0" borderId="3" xfId="2" applyNumberFormat="1" applyFont="1" applyBorder="1" applyAlignment="1">
      <alignment horizontal="left" vertical="center" wrapText="1" indent="2"/>
    </xf>
    <xf numFmtId="164" fontId="4" fillId="0" borderId="1" xfId="2" applyNumberFormat="1" applyFont="1" applyBorder="1" applyAlignment="1">
      <alignment horizontal="left" vertical="center" wrapText="1"/>
    </xf>
    <xf numFmtId="3" fontId="24" fillId="0" borderId="0" xfId="0" applyNumberFormat="1" applyFont="1"/>
    <xf numFmtId="164" fontId="6" fillId="0" borderId="5" xfId="2" applyNumberFormat="1" applyFont="1" applyBorder="1" applyAlignment="1">
      <alignment vertical="center" wrapText="1"/>
    </xf>
    <xf numFmtId="164" fontId="6" fillId="0" borderId="5" xfId="2" applyNumberFormat="1" applyFont="1" applyBorder="1" applyAlignment="1">
      <alignment vertical="top" wrapText="1"/>
    </xf>
    <xf numFmtId="164" fontId="6" fillId="0" borderId="5" xfId="2" applyNumberFormat="1" applyFont="1" applyBorder="1" applyAlignment="1">
      <alignment horizontal="left" vertical="center" wrapText="1" indent="2"/>
    </xf>
    <xf numFmtId="164" fontId="6" fillId="0" borderId="5" xfId="2" applyNumberFormat="1" applyFont="1" applyBorder="1" applyAlignment="1">
      <alignment horizontal="left" vertical="top" wrapText="1" indent="2"/>
    </xf>
    <xf numFmtId="164" fontId="4" fillId="0" borderId="1" xfId="2" applyNumberFormat="1" applyFont="1" applyBorder="1" applyAlignment="1">
      <alignment horizontal="left" vertical="top" wrapText="1"/>
    </xf>
    <xf numFmtId="164" fontId="4" fillId="0" borderId="5" xfId="2" applyNumberFormat="1" applyFont="1" applyBorder="1" applyAlignment="1">
      <alignment horizontal="left" vertical="center" wrapText="1"/>
    </xf>
    <xf numFmtId="164" fontId="4" fillId="0" borderId="5" xfId="2" applyNumberFormat="1" applyFont="1" applyBorder="1" applyAlignment="1">
      <alignment horizontal="left" vertical="top" wrapText="1"/>
    </xf>
    <xf numFmtId="0" fontId="38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164" fontId="27" fillId="0" borderId="0" xfId="3" applyNumberFormat="1" applyFont="1" applyAlignment="1">
      <alignment horizontal="right" vertical="center" wrapText="1"/>
    </xf>
    <xf numFmtId="0" fontId="30" fillId="0" borderId="0" xfId="0" applyFont="1" applyAlignment="1">
      <alignment horizontal="left" vertical="center" wrapText="1"/>
    </xf>
    <xf numFmtId="164" fontId="37" fillId="0" borderId="0" xfId="3" applyNumberFormat="1" applyFont="1" applyAlignment="1">
      <alignment horizontal="right" vertical="center" wrapText="1"/>
    </xf>
    <xf numFmtId="0" fontId="28" fillId="0" borderId="0" xfId="0" applyFont="1" applyAlignment="1">
      <alignment horizontal="left" vertical="center" wrapText="1"/>
    </xf>
    <xf numFmtId="0" fontId="13" fillId="0" borderId="0" xfId="0" applyFont="1" applyAlignment="1">
      <alignment wrapText="1"/>
    </xf>
    <xf numFmtId="164" fontId="6" fillId="0" borderId="3" xfId="2" applyNumberFormat="1" applyFont="1" applyFill="1" applyBorder="1" applyAlignment="1">
      <alignment horizontal="right" vertical="center" wrapText="1"/>
    </xf>
    <xf numFmtId="164" fontId="6" fillId="0" borderId="5" xfId="4" applyNumberFormat="1" applyFont="1" applyFill="1" applyBorder="1" applyAlignment="1" applyProtection="1">
      <alignment horizontal="right" vertical="center" wrapText="1"/>
      <protection locked="0"/>
    </xf>
    <xf numFmtId="164" fontId="28" fillId="0" borderId="15" xfId="0" applyNumberFormat="1" applyFont="1" applyFill="1" applyBorder="1" applyAlignment="1">
      <alignment horizontal="right" vertical="center" wrapText="1"/>
    </xf>
    <xf numFmtId="164" fontId="6" fillId="0" borderId="16" xfId="2" applyNumberFormat="1" applyFont="1" applyBorder="1" applyAlignment="1">
      <alignment horizontal="right" vertical="center" wrapText="1"/>
    </xf>
    <xf numFmtId="164" fontId="3" fillId="6" borderId="3" xfId="2" applyNumberFormat="1" applyFont="1" applyFill="1" applyBorder="1" applyAlignment="1">
      <alignment horizontal="right" vertical="top" wrapText="1"/>
    </xf>
    <xf numFmtId="0" fontId="24" fillId="0" borderId="0" xfId="0" applyFont="1" applyAlignment="1">
      <alignment horizontal="center"/>
    </xf>
    <xf numFmtId="164" fontId="3" fillId="0" borderId="0" xfId="2" applyNumberFormat="1" applyFont="1" applyAlignment="1">
      <alignment horizontal="right" vertical="center" wrapText="1"/>
    </xf>
    <xf numFmtId="164" fontId="5" fillId="0" borderId="0" xfId="2" applyNumberFormat="1" applyFont="1" applyAlignment="1">
      <alignment horizontal="right" vertical="top" wrapText="1"/>
    </xf>
  </cellXfs>
  <cellStyles count="6">
    <cellStyle name="˙˙˙" xfId="1" xr:uid="{00000000-0005-0000-0000-000000000000}"/>
    <cellStyle name="gs]_x000d__x000a_Window=0,0,640,480, , ,3_x000d__x000a_dir1=5,7,637,250,-1,-1,1,30,201,1905,231,G:\UGRC\RB\B-DADOS\FOX-PRO\CRED-VEN\KP" xfId="2" xr:uid="{00000000-0005-0000-0000-000001000000}"/>
    <cellStyle name="Normalny" xfId="0" builtinId="0"/>
    <cellStyle name="Normalny 2" xfId="3" xr:uid="{00000000-0005-0000-0000-000003000000}"/>
    <cellStyle name="Normalny_SFB_26_09" xfId="4" xr:uid="{00000000-0005-0000-0000-000004000000}"/>
    <cellStyle name="Procentowy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0"/>
  <sheetViews>
    <sheetView tabSelected="1" zoomScale="80" zoomScaleNormal="80" workbookViewId="0">
      <pane xSplit="2" ySplit="3" topLeftCell="T4" activePane="bottomRight" state="frozenSplit"/>
      <selection pane="topRight" activeCell="B1" sqref="B1"/>
      <selection pane="bottomLeft" activeCell="A4" sqref="A4"/>
      <selection pane="bottomRight" activeCell="A2" sqref="A2"/>
    </sheetView>
  </sheetViews>
  <sheetFormatPr defaultColWidth="8.75" defaultRowHeight="12" outlineLevelCol="1"/>
  <cols>
    <col min="1" max="1" width="43.25" style="1" customWidth="1"/>
    <col min="2" max="2" width="40.33203125" style="1" customWidth="1"/>
    <col min="3" max="6" width="11.75" style="1" hidden="1" customWidth="1" outlineLevel="1"/>
    <col min="7" max="7" width="11.75" style="1" customWidth="1" collapsed="1"/>
    <col min="8" max="12" width="11.75" style="1" customWidth="1"/>
    <col min="13" max="13" width="13.58203125" style="1" customWidth="1"/>
    <col min="14" max="14" width="12.25" style="1" customWidth="1"/>
    <col min="15" max="22" width="13.33203125" style="1" customWidth="1"/>
    <col min="23" max="29" width="12.25" style="55" customWidth="1"/>
    <col min="30" max="32" width="11.75" style="1" customWidth="1"/>
    <col min="33" max="16384" width="8.75" style="1"/>
  </cols>
  <sheetData>
    <row r="1" spans="1:30" ht="15.5">
      <c r="A1" s="83" t="s">
        <v>24</v>
      </c>
      <c r="C1" s="53"/>
      <c r="D1" s="96"/>
      <c r="E1" s="96"/>
      <c r="F1" s="96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28"/>
      <c r="T1" s="28"/>
      <c r="U1" s="28"/>
      <c r="V1" s="28"/>
      <c r="W1" s="28"/>
      <c r="X1" s="28"/>
    </row>
    <row r="2" spans="1:30" ht="15.5">
      <c r="A2" s="83" t="s">
        <v>623</v>
      </c>
      <c r="C2" s="55"/>
      <c r="D2" s="55"/>
      <c r="E2" s="55"/>
      <c r="F2" s="55"/>
      <c r="G2" s="55"/>
      <c r="H2" s="55"/>
      <c r="I2" s="55"/>
      <c r="J2" s="55"/>
      <c r="K2" s="128"/>
      <c r="L2" s="128"/>
      <c r="M2" s="128"/>
      <c r="N2" s="128"/>
      <c r="O2" s="128"/>
      <c r="P2" s="128"/>
      <c r="Q2" s="128"/>
      <c r="R2" s="128"/>
      <c r="S2" s="27"/>
      <c r="T2" s="27"/>
      <c r="U2" s="27"/>
      <c r="V2" s="27"/>
      <c r="W2" s="27"/>
      <c r="X2" s="27"/>
      <c r="AD2" s="55"/>
    </row>
    <row r="3" spans="1:30" s="190" customFormat="1" ht="24.5" thickBot="1">
      <c r="A3" s="171" t="s">
        <v>497</v>
      </c>
      <c r="B3" s="171" t="s">
        <v>172</v>
      </c>
      <c r="C3" s="188" t="s">
        <v>262</v>
      </c>
      <c r="D3" s="188" t="s">
        <v>273</v>
      </c>
      <c r="E3" s="188" t="s">
        <v>276</v>
      </c>
      <c r="F3" s="188" t="s">
        <v>283</v>
      </c>
      <c r="G3" s="188" t="s">
        <v>285</v>
      </c>
      <c r="H3" s="188" t="s">
        <v>364</v>
      </c>
      <c r="I3" s="188" t="s">
        <v>403</v>
      </c>
      <c r="J3" s="188" t="s">
        <v>408</v>
      </c>
      <c r="K3" s="188" t="s">
        <v>411</v>
      </c>
      <c r="L3" s="188" t="s">
        <v>421</v>
      </c>
      <c r="M3" s="188" t="s">
        <v>425</v>
      </c>
      <c r="N3" s="188" t="s">
        <v>431</v>
      </c>
      <c r="O3" s="254" t="s">
        <v>510</v>
      </c>
      <c r="P3" s="254" t="s">
        <v>590</v>
      </c>
      <c r="Q3" s="254" t="s">
        <v>596</v>
      </c>
      <c r="R3" s="254" t="s">
        <v>607</v>
      </c>
      <c r="S3" s="254" t="s">
        <v>612</v>
      </c>
      <c r="T3" s="254" t="s">
        <v>617</v>
      </c>
      <c r="U3" s="254" t="s">
        <v>629</v>
      </c>
      <c r="V3" s="254" t="s">
        <v>636</v>
      </c>
      <c r="W3" s="254" t="s">
        <v>643</v>
      </c>
      <c r="X3" s="254" t="s">
        <v>651</v>
      </c>
      <c r="Y3" s="191"/>
      <c r="Z3" s="191"/>
      <c r="AA3" s="191"/>
      <c r="AB3" s="191"/>
      <c r="AC3" s="191"/>
      <c r="AD3" s="191"/>
    </row>
    <row r="4" spans="1:30">
      <c r="A4" s="107" t="s">
        <v>25</v>
      </c>
      <c r="B4" s="103" t="s">
        <v>286</v>
      </c>
      <c r="C4" s="5">
        <v>594025</v>
      </c>
      <c r="D4" s="5">
        <f t="shared" ref="D4:F5" si="0">+D42-C42</f>
        <v>602557</v>
      </c>
      <c r="E4" s="5">
        <f t="shared" si="0"/>
        <v>621594</v>
      </c>
      <c r="F4" s="5">
        <f t="shared" si="0"/>
        <v>621154</v>
      </c>
      <c r="G4" s="5">
        <v>617997</v>
      </c>
      <c r="H4" s="5">
        <f t="shared" ref="H4:J5" si="1">+H42-G42</f>
        <v>640161</v>
      </c>
      <c r="I4" s="5">
        <f t="shared" si="1"/>
        <v>665522</v>
      </c>
      <c r="J4" s="5">
        <f t="shared" si="1"/>
        <v>698658</v>
      </c>
      <c r="K4" s="5">
        <f>+K42</f>
        <v>710898</v>
      </c>
      <c r="L4" s="5">
        <f t="shared" ref="L4:N5" si="2">+L42-K42</f>
        <v>804734.37461358006</v>
      </c>
      <c r="M4" s="5">
        <f t="shared" si="2"/>
        <v>957779.62538641994</v>
      </c>
      <c r="N4" s="5">
        <f>+N42-M42</f>
        <v>963892</v>
      </c>
      <c r="O4" s="255">
        <f>+O42</f>
        <v>927731</v>
      </c>
      <c r="P4" s="255">
        <f t="shared" ref="P4:R5" si="3">+P42-O42</f>
        <v>809353</v>
      </c>
      <c r="Q4" s="255">
        <f t="shared" si="3"/>
        <v>692996</v>
      </c>
      <c r="R4" s="255">
        <f t="shared" si="3"/>
        <v>662039</v>
      </c>
      <c r="S4" s="255">
        <f>+S42</f>
        <v>652138</v>
      </c>
      <c r="T4" s="255">
        <f t="shared" ref="T4:X19" si="4">+T42-S42</f>
        <v>687758</v>
      </c>
      <c r="U4" s="255">
        <f t="shared" si="4"/>
        <v>696410</v>
      </c>
      <c r="V4" s="255">
        <f t="shared" si="4"/>
        <v>805787</v>
      </c>
      <c r="W4" s="255">
        <f>+W42</f>
        <v>1059315</v>
      </c>
      <c r="X4" s="255">
        <f t="shared" si="4"/>
        <v>1491924</v>
      </c>
      <c r="AD4" s="55"/>
    </row>
    <row r="5" spans="1:30">
      <c r="A5" s="107" t="s">
        <v>287</v>
      </c>
      <c r="B5" s="102" t="s">
        <v>97</v>
      </c>
      <c r="C5" s="6">
        <v>-182862</v>
      </c>
      <c r="D5" s="6">
        <f t="shared" si="0"/>
        <v>-172653</v>
      </c>
      <c r="E5" s="6">
        <f t="shared" si="0"/>
        <v>-174971</v>
      </c>
      <c r="F5" s="6">
        <f t="shared" si="0"/>
        <v>-171984</v>
      </c>
      <c r="G5" s="6">
        <v>-181304</v>
      </c>
      <c r="H5" s="6">
        <f t="shared" si="1"/>
        <v>-183908</v>
      </c>
      <c r="I5" s="6">
        <f t="shared" si="1"/>
        <v>-184406</v>
      </c>
      <c r="J5" s="6">
        <f t="shared" si="1"/>
        <v>-194826</v>
      </c>
      <c r="K5" s="6">
        <f>+K43</f>
        <v>-210567</v>
      </c>
      <c r="L5" s="6">
        <f t="shared" si="2"/>
        <v>-220403</v>
      </c>
      <c r="M5" s="6">
        <f t="shared" si="2"/>
        <v>-252590</v>
      </c>
      <c r="N5" s="6">
        <f t="shared" si="2"/>
        <v>-254357</v>
      </c>
      <c r="O5" s="256">
        <f>+O43</f>
        <v>-251964</v>
      </c>
      <c r="P5" s="256">
        <f t="shared" si="3"/>
        <v>-181896</v>
      </c>
      <c r="Q5" s="256">
        <f t="shared" si="3"/>
        <v>-69051</v>
      </c>
      <c r="R5" s="256">
        <f>+R43-Q43</f>
        <v>-40608</v>
      </c>
      <c r="S5" s="256">
        <f>+S43</f>
        <v>-32638</v>
      </c>
      <c r="T5" s="256">
        <f t="shared" si="4"/>
        <v>-30092</v>
      </c>
      <c r="U5" s="256">
        <f t="shared" si="4"/>
        <v>-27532</v>
      </c>
      <c r="V5" s="256">
        <f t="shared" si="4"/>
        <v>-38688</v>
      </c>
      <c r="W5" s="256">
        <f>+W43</f>
        <v>-98276</v>
      </c>
      <c r="X5" s="256">
        <f t="shared" si="4"/>
        <v>-313042</v>
      </c>
      <c r="AD5" s="55"/>
    </row>
    <row r="6" spans="1:30">
      <c r="A6" s="174" t="s">
        <v>26</v>
      </c>
      <c r="B6" s="104" t="s">
        <v>98</v>
      </c>
      <c r="C6" s="7">
        <f t="shared" ref="C6:J6" si="5">SUM(C4:C5)</f>
        <v>411163</v>
      </c>
      <c r="D6" s="7">
        <f t="shared" si="5"/>
        <v>429904</v>
      </c>
      <c r="E6" s="7">
        <f t="shared" si="5"/>
        <v>446623</v>
      </c>
      <c r="F6" s="7">
        <f t="shared" si="5"/>
        <v>449170</v>
      </c>
      <c r="G6" s="7">
        <f t="shared" si="5"/>
        <v>436693</v>
      </c>
      <c r="H6" s="7">
        <f t="shared" si="5"/>
        <v>456253</v>
      </c>
      <c r="I6" s="7">
        <f t="shared" si="5"/>
        <v>481116</v>
      </c>
      <c r="J6" s="7">
        <f t="shared" si="5"/>
        <v>503832</v>
      </c>
      <c r="K6" s="7">
        <f t="shared" ref="K6:N6" si="6">SUM(K4:K5)</f>
        <v>500331</v>
      </c>
      <c r="L6" s="7">
        <f t="shared" si="6"/>
        <v>584331.37461358006</v>
      </c>
      <c r="M6" s="7">
        <f t="shared" si="6"/>
        <v>705189.62538641994</v>
      </c>
      <c r="N6" s="7">
        <f t="shared" si="6"/>
        <v>709535</v>
      </c>
      <c r="O6" s="257">
        <f t="shared" ref="O6:R6" si="7">SUM(O4:O5)</f>
        <v>675767</v>
      </c>
      <c r="P6" s="257">
        <f t="shared" si="7"/>
        <v>627457</v>
      </c>
      <c r="Q6" s="257">
        <f t="shared" si="7"/>
        <v>623945</v>
      </c>
      <c r="R6" s="257">
        <f t="shared" si="7"/>
        <v>621431</v>
      </c>
      <c r="S6" s="257">
        <f t="shared" ref="S6:X6" si="8">SUM(S4:S5)</f>
        <v>619500</v>
      </c>
      <c r="T6" s="257">
        <f t="shared" si="8"/>
        <v>657666</v>
      </c>
      <c r="U6" s="257">
        <f t="shared" si="8"/>
        <v>668878</v>
      </c>
      <c r="V6" s="257">
        <f t="shared" si="8"/>
        <v>767099</v>
      </c>
      <c r="W6" s="257">
        <f t="shared" si="8"/>
        <v>961039</v>
      </c>
      <c r="X6" s="257">
        <f t="shared" si="8"/>
        <v>1178882</v>
      </c>
      <c r="AD6" s="55"/>
    </row>
    <row r="7" spans="1:30">
      <c r="A7" s="107" t="s">
        <v>1</v>
      </c>
      <c r="B7" s="102" t="s">
        <v>99</v>
      </c>
      <c r="C7" s="6">
        <v>196098</v>
      </c>
      <c r="D7" s="6">
        <f t="shared" ref="D7:F8" si="9">+D45-C45</f>
        <v>196164</v>
      </c>
      <c r="E7" s="6">
        <f t="shared" si="9"/>
        <v>201064</v>
      </c>
      <c r="F7" s="6">
        <f t="shared" si="9"/>
        <v>205962</v>
      </c>
      <c r="G7" s="6">
        <v>209202</v>
      </c>
      <c r="H7" s="6">
        <f t="shared" ref="H7:J8" si="10">+H45-G45</f>
        <v>205359</v>
      </c>
      <c r="I7" s="6">
        <f t="shared" si="10"/>
        <v>205347</v>
      </c>
      <c r="J7" s="6">
        <f t="shared" si="10"/>
        <v>204337</v>
      </c>
      <c r="K7" s="6">
        <f>+K45</f>
        <v>201530</v>
      </c>
      <c r="L7" s="6">
        <f t="shared" ref="L7:N8" si="11">+L45-K45</f>
        <v>221297</v>
      </c>
      <c r="M7" s="6">
        <f t="shared" si="11"/>
        <v>238271</v>
      </c>
      <c r="N7" s="6">
        <f t="shared" si="11"/>
        <v>238789</v>
      </c>
      <c r="O7" s="256">
        <f>+O45</f>
        <v>247669</v>
      </c>
      <c r="P7" s="256">
        <f t="shared" ref="P7:R8" si="12">+P45-O45</f>
        <v>224034</v>
      </c>
      <c r="Q7" s="256">
        <f t="shared" si="12"/>
        <v>235165</v>
      </c>
      <c r="R7" s="256">
        <f t="shared" si="12"/>
        <v>240546</v>
      </c>
      <c r="S7" s="256">
        <f>+S45</f>
        <v>245994</v>
      </c>
      <c r="T7" s="256">
        <f t="shared" si="4"/>
        <v>253855</v>
      </c>
      <c r="U7" s="256">
        <f t="shared" si="4"/>
        <v>251897</v>
      </c>
      <c r="V7" s="256">
        <f>+V45-U45</f>
        <v>260504</v>
      </c>
      <c r="W7" s="256">
        <f t="shared" ref="W7:W8" si="13">+W45</f>
        <v>267907</v>
      </c>
      <c r="X7" s="256">
        <f>+X45-W45</f>
        <v>260498</v>
      </c>
      <c r="AD7" s="55"/>
    </row>
    <row r="8" spans="1:30">
      <c r="A8" s="107" t="s">
        <v>288</v>
      </c>
      <c r="B8" s="102" t="s">
        <v>100</v>
      </c>
      <c r="C8" s="6">
        <v>-29981</v>
      </c>
      <c r="D8" s="6">
        <f t="shared" si="9"/>
        <v>-33646</v>
      </c>
      <c r="E8" s="6">
        <f t="shared" si="9"/>
        <v>-35526</v>
      </c>
      <c r="F8" s="6">
        <f t="shared" si="9"/>
        <v>-36582</v>
      </c>
      <c r="G8" s="6">
        <v>-36698</v>
      </c>
      <c r="H8" s="6">
        <f t="shared" si="10"/>
        <v>-41276</v>
      </c>
      <c r="I8" s="6">
        <f t="shared" si="10"/>
        <v>-42434</v>
      </c>
      <c r="J8" s="6">
        <f t="shared" si="10"/>
        <v>-42768</v>
      </c>
      <c r="K8" s="6">
        <f>+K46</f>
        <v>-38356</v>
      </c>
      <c r="L8" s="6">
        <f t="shared" si="11"/>
        <v>-46272</v>
      </c>
      <c r="M8" s="6">
        <f t="shared" si="11"/>
        <v>-59964</v>
      </c>
      <c r="N8" s="6">
        <f t="shared" si="11"/>
        <v>-56142</v>
      </c>
      <c r="O8" s="256">
        <f>+O46</f>
        <v>-53136</v>
      </c>
      <c r="P8" s="256">
        <f t="shared" si="12"/>
        <v>-45039</v>
      </c>
      <c r="Q8" s="256">
        <f t="shared" si="12"/>
        <v>-55367</v>
      </c>
      <c r="R8" s="256">
        <f t="shared" si="12"/>
        <v>-47816</v>
      </c>
      <c r="S8" s="256">
        <f>+S46</f>
        <v>-41217</v>
      </c>
      <c r="T8" s="256">
        <f t="shared" si="4"/>
        <v>-44545</v>
      </c>
      <c r="U8" s="256">
        <f t="shared" si="4"/>
        <v>-50332</v>
      </c>
      <c r="V8" s="256">
        <f t="shared" si="4"/>
        <v>-45544</v>
      </c>
      <c r="W8" s="256">
        <f t="shared" si="13"/>
        <v>-47091</v>
      </c>
      <c r="X8" s="256">
        <f t="shared" si="4"/>
        <v>-54376</v>
      </c>
      <c r="AD8" s="55"/>
    </row>
    <row r="9" spans="1:30">
      <c r="A9" s="174" t="s">
        <v>3</v>
      </c>
      <c r="B9" s="104" t="s">
        <v>101</v>
      </c>
      <c r="C9" s="7">
        <f t="shared" ref="C9:J9" si="14">SUM(C7:C8)</f>
        <v>166117</v>
      </c>
      <c r="D9" s="7">
        <f t="shared" si="14"/>
        <v>162518</v>
      </c>
      <c r="E9" s="7">
        <f t="shared" si="14"/>
        <v>165538</v>
      </c>
      <c r="F9" s="7">
        <f t="shared" si="14"/>
        <v>169380</v>
      </c>
      <c r="G9" s="7">
        <f t="shared" si="14"/>
        <v>172504</v>
      </c>
      <c r="H9" s="7">
        <f t="shared" si="14"/>
        <v>164083</v>
      </c>
      <c r="I9" s="7">
        <f t="shared" si="14"/>
        <v>162913</v>
      </c>
      <c r="J9" s="7">
        <f t="shared" si="14"/>
        <v>161569</v>
      </c>
      <c r="K9" s="7">
        <f t="shared" ref="K9:N9" si="15">SUM(K7:K8)</f>
        <v>163174</v>
      </c>
      <c r="L9" s="7">
        <f t="shared" si="15"/>
        <v>175025</v>
      </c>
      <c r="M9" s="7">
        <f t="shared" si="15"/>
        <v>178307</v>
      </c>
      <c r="N9" s="7">
        <f t="shared" si="15"/>
        <v>182647</v>
      </c>
      <c r="O9" s="257">
        <f t="shared" ref="O9:R9" si="16">SUM(O7:O8)</f>
        <v>194533</v>
      </c>
      <c r="P9" s="257">
        <f t="shared" si="16"/>
        <v>178995</v>
      </c>
      <c r="Q9" s="257">
        <f t="shared" si="16"/>
        <v>179798</v>
      </c>
      <c r="R9" s="257">
        <f t="shared" si="16"/>
        <v>192730</v>
      </c>
      <c r="S9" s="257">
        <f t="shared" ref="S9:X9" si="17">SUM(S7:S8)</f>
        <v>204777</v>
      </c>
      <c r="T9" s="257">
        <f t="shared" si="17"/>
        <v>209310</v>
      </c>
      <c r="U9" s="257">
        <f t="shared" si="17"/>
        <v>201565</v>
      </c>
      <c r="V9" s="257">
        <f t="shared" si="17"/>
        <v>214960</v>
      </c>
      <c r="W9" s="257">
        <f t="shared" si="17"/>
        <v>220816</v>
      </c>
      <c r="X9" s="257">
        <f t="shared" si="17"/>
        <v>206122</v>
      </c>
      <c r="AD9" s="55"/>
    </row>
    <row r="10" spans="1:30">
      <c r="A10" s="107" t="s">
        <v>4</v>
      </c>
      <c r="B10" s="102" t="s">
        <v>102</v>
      </c>
      <c r="C10" s="6">
        <v>285</v>
      </c>
      <c r="D10" s="6">
        <f t="shared" ref="D10:F17" si="18">+D48-C48</f>
        <v>2041</v>
      </c>
      <c r="E10" s="6">
        <f t="shared" si="18"/>
        <v>139</v>
      </c>
      <c r="F10" s="6">
        <f t="shared" si="18"/>
        <v>147</v>
      </c>
      <c r="G10" s="6">
        <v>149</v>
      </c>
      <c r="H10" s="6">
        <f t="shared" ref="H10:J17" si="19">+H48-G48</f>
        <v>2075</v>
      </c>
      <c r="I10" s="6">
        <f t="shared" si="19"/>
        <v>181</v>
      </c>
      <c r="J10" s="6">
        <f t="shared" si="19"/>
        <v>196</v>
      </c>
      <c r="K10" s="6">
        <f t="shared" ref="K10:K17" si="20">+K48</f>
        <v>198</v>
      </c>
      <c r="L10" s="6">
        <f t="shared" ref="L10:N17" si="21">+L48-K48</f>
        <v>2484</v>
      </c>
      <c r="M10" s="6">
        <f t="shared" si="21"/>
        <v>257</v>
      </c>
      <c r="N10" s="6">
        <f t="shared" si="21"/>
        <v>275</v>
      </c>
      <c r="O10" s="256">
        <f t="shared" ref="O10:O17" si="22">+O48</f>
        <v>243</v>
      </c>
      <c r="P10" s="256">
        <f t="shared" ref="P10:R17" si="23">+P48-O48</f>
        <v>3025</v>
      </c>
      <c r="Q10" s="256">
        <f t="shared" si="23"/>
        <v>274</v>
      </c>
      <c r="R10" s="256">
        <f t="shared" si="23"/>
        <v>136</v>
      </c>
      <c r="S10" s="256">
        <f t="shared" ref="S10:S17" si="24">+S48</f>
        <v>136</v>
      </c>
      <c r="T10" s="256">
        <f t="shared" si="4"/>
        <v>2567</v>
      </c>
      <c r="U10" s="256">
        <f t="shared" si="4"/>
        <v>735</v>
      </c>
      <c r="V10" s="256">
        <f t="shared" si="4"/>
        <v>323</v>
      </c>
      <c r="W10" s="256">
        <f t="shared" ref="W10:W17" si="25">+W48</f>
        <v>299</v>
      </c>
      <c r="X10" s="256">
        <f t="shared" si="4"/>
        <v>2761</v>
      </c>
      <c r="AD10" s="55"/>
    </row>
    <row r="11" spans="1:30" ht="36">
      <c r="A11" s="107" t="s">
        <v>289</v>
      </c>
      <c r="B11" s="102" t="s">
        <v>290</v>
      </c>
      <c r="C11" s="6">
        <v>332</v>
      </c>
      <c r="D11" s="6">
        <f t="shared" si="18"/>
        <v>3849</v>
      </c>
      <c r="E11" s="6">
        <f t="shared" si="18"/>
        <v>5038</v>
      </c>
      <c r="F11" s="6">
        <f t="shared" si="18"/>
        <v>16069</v>
      </c>
      <c r="G11" s="6">
        <v>3160</v>
      </c>
      <c r="H11" s="6">
        <f t="shared" si="19"/>
        <v>5439</v>
      </c>
      <c r="I11" s="6">
        <f t="shared" si="19"/>
        <v>7078</v>
      </c>
      <c r="J11" s="6">
        <f t="shared" si="19"/>
        <v>3220</v>
      </c>
      <c r="K11" s="6">
        <f t="shared" si="20"/>
        <v>14921</v>
      </c>
      <c r="L11" s="6">
        <f t="shared" si="21"/>
        <v>14383</v>
      </c>
      <c r="M11" s="6">
        <f t="shared" si="21"/>
        <v>5005</v>
      </c>
      <c r="N11" s="6">
        <f t="shared" si="21"/>
        <v>3718</v>
      </c>
      <c r="O11" s="256">
        <f t="shared" si="22"/>
        <v>13747</v>
      </c>
      <c r="P11" s="256">
        <f t="shared" si="23"/>
        <v>35173</v>
      </c>
      <c r="Q11" s="256">
        <f t="shared" si="23"/>
        <v>29103</v>
      </c>
      <c r="R11" s="256">
        <f t="shared" si="23"/>
        <v>50059</v>
      </c>
      <c r="S11" s="256">
        <f t="shared" si="24"/>
        <v>863</v>
      </c>
      <c r="T11" s="256">
        <f t="shared" si="4"/>
        <v>8402</v>
      </c>
      <c r="U11" s="256">
        <f t="shared" si="4"/>
        <v>973</v>
      </c>
      <c r="V11" s="256">
        <f t="shared" si="4"/>
        <v>-569</v>
      </c>
      <c r="W11" s="256">
        <f t="shared" si="25"/>
        <v>-719</v>
      </c>
      <c r="X11" s="256">
        <f t="shared" si="4"/>
        <v>-774</v>
      </c>
      <c r="AD11" s="55"/>
    </row>
    <row r="12" spans="1:30" ht="24">
      <c r="A12" s="107" t="s">
        <v>291</v>
      </c>
      <c r="B12" s="102" t="s">
        <v>292</v>
      </c>
      <c r="C12" s="6">
        <v>-1020</v>
      </c>
      <c r="D12" s="6">
        <f t="shared" si="18"/>
        <v>1763</v>
      </c>
      <c r="E12" s="6">
        <f t="shared" si="18"/>
        <v>165</v>
      </c>
      <c r="F12" s="6">
        <f t="shared" si="18"/>
        <v>1280</v>
      </c>
      <c r="G12" s="6">
        <v>8775</v>
      </c>
      <c r="H12" s="6">
        <f t="shared" si="19"/>
        <v>3883</v>
      </c>
      <c r="I12" s="6">
        <f t="shared" si="19"/>
        <v>3195</v>
      </c>
      <c r="J12" s="6">
        <f t="shared" si="19"/>
        <v>5503</v>
      </c>
      <c r="K12" s="6">
        <f t="shared" si="20"/>
        <v>1736</v>
      </c>
      <c r="L12" s="6">
        <f t="shared" si="21"/>
        <v>1753</v>
      </c>
      <c r="M12" s="6">
        <f t="shared" si="21"/>
        <v>1492</v>
      </c>
      <c r="N12" s="6">
        <f t="shared" si="21"/>
        <v>738</v>
      </c>
      <c r="O12" s="256">
        <f t="shared" si="22"/>
        <v>9734</v>
      </c>
      <c r="P12" s="256">
        <f t="shared" si="23"/>
        <v>22405</v>
      </c>
      <c r="Q12" s="256">
        <f t="shared" si="23"/>
        <v>7916</v>
      </c>
      <c r="R12" s="256">
        <f t="shared" si="23"/>
        <v>7841</v>
      </c>
      <c r="S12" s="256">
        <f t="shared" si="24"/>
        <v>-1014</v>
      </c>
      <c r="T12" s="256">
        <f t="shared" si="4"/>
        <v>-5019</v>
      </c>
      <c r="U12" s="256">
        <f t="shared" si="4"/>
        <v>-1112</v>
      </c>
      <c r="V12" s="256">
        <f t="shared" si="4"/>
        <v>-2151</v>
      </c>
      <c r="W12" s="256">
        <f t="shared" si="25"/>
        <v>-2735</v>
      </c>
      <c r="X12" s="256">
        <f t="shared" si="4"/>
        <v>-2432</v>
      </c>
      <c r="AD12" s="55"/>
    </row>
    <row r="13" spans="1:30" ht="36">
      <c r="A13" s="107" t="s">
        <v>397</v>
      </c>
      <c r="B13" s="102" t="s">
        <v>398</v>
      </c>
      <c r="C13" s="6">
        <v>0</v>
      </c>
      <c r="D13" s="6">
        <f t="shared" si="18"/>
        <v>0</v>
      </c>
      <c r="E13" s="6">
        <f t="shared" si="18"/>
        <v>0</v>
      </c>
      <c r="F13" s="6">
        <f t="shared" si="18"/>
        <v>0</v>
      </c>
      <c r="G13" s="6">
        <v>853</v>
      </c>
      <c r="H13" s="6">
        <f t="shared" si="19"/>
        <v>6521</v>
      </c>
      <c r="I13" s="6">
        <f t="shared" si="19"/>
        <v>4160</v>
      </c>
      <c r="J13" s="6">
        <f t="shared" si="19"/>
        <v>2021</v>
      </c>
      <c r="K13" s="6">
        <f t="shared" si="20"/>
        <v>8982</v>
      </c>
      <c r="L13" s="6">
        <f t="shared" si="21"/>
        <v>6651</v>
      </c>
      <c r="M13" s="6">
        <f t="shared" si="21"/>
        <v>49795</v>
      </c>
      <c r="N13" s="6">
        <f t="shared" si="21"/>
        <v>23676</v>
      </c>
      <c r="O13" s="256">
        <f t="shared" si="22"/>
        <v>0</v>
      </c>
      <c r="P13" s="256">
        <f t="shared" si="23"/>
        <v>7487</v>
      </c>
      <c r="Q13" s="256">
        <f t="shared" si="23"/>
        <v>11531.687140000002</v>
      </c>
      <c r="R13" s="256">
        <f t="shared" si="23"/>
        <v>62477.661660000005</v>
      </c>
      <c r="S13" s="256">
        <f t="shared" si="24"/>
        <v>4037</v>
      </c>
      <c r="T13" s="256">
        <f t="shared" si="4"/>
        <v>12414</v>
      </c>
      <c r="U13" s="256">
        <f t="shared" si="4"/>
        <v>-1848</v>
      </c>
      <c r="V13" s="256">
        <f t="shared" si="4"/>
        <v>70054</v>
      </c>
      <c r="W13" s="256">
        <f t="shared" si="25"/>
        <v>8745</v>
      </c>
      <c r="X13" s="256">
        <f t="shared" si="4"/>
        <v>-11974</v>
      </c>
      <c r="AD13" s="55"/>
    </row>
    <row r="14" spans="1:30">
      <c r="A14" s="107" t="s">
        <v>293</v>
      </c>
      <c r="B14" s="102" t="s">
        <v>294</v>
      </c>
      <c r="C14" s="6">
        <v>-4072</v>
      </c>
      <c r="D14" s="6">
        <f t="shared" si="18"/>
        <v>-4517</v>
      </c>
      <c r="E14" s="6">
        <f t="shared" si="18"/>
        <v>-4118</v>
      </c>
      <c r="F14" s="6">
        <f t="shared" si="18"/>
        <v>-7670</v>
      </c>
      <c r="G14" s="6">
        <v>-5429</v>
      </c>
      <c r="H14" s="6">
        <f t="shared" si="19"/>
        <v>-4529</v>
      </c>
      <c r="I14" s="6">
        <f t="shared" si="19"/>
        <v>-4949</v>
      </c>
      <c r="J14" s="6">
        <f t="shared" si="19"/>
        <v>-5130</v>
      </c>
      <c r="K14" s="6">
        <f t="shared" si="20"/>
        <v>-4821</v>
      </c>
      <c r="L14" s="6">
        <f t="shared" si="21"/>
        <v>-5130</v>
      </c>
      <c r="M14" s="6">
        <f t="shared" si="21"/>
        <v>-5687</v>
      </c>
      <c r="N14" s="6">
        <f t="shared" si="21"/>
        <v>-4183</v>
      </c>
      <c r="O14" s="256">
        <f t="shared" si="22"/>
        <v>-4514</v>
      </c>
      <c r="P14" s="256">
        <f t="shared" si="23"/>
        <v>-3518</v>
      </c>
      <c r="Q14" s="256">
        <f t="shared" si="23"/>
        <v>-2708</v>
      </c>
      <c r="R14" s="256">
        <f t="shared" si="23"/>
        <v>481</v>
      </c>
      <c r="S14" s="256">
        <f t="shared" si="24"/>
        <v>890</v>
      </c>
      <c r="T14" s="256">
        <f t="shared" si="4"/>
        <v>-1164</v>
      </c>
      <c r="U14" s="256">
        <f t="shared" si="4"/>
        <v>-1480</v>
      </c>
      <c r="V14" s="256">
        <f t="shared" si="4"/>
        <v>-1431</v>
      </c>
      <c r="W14" s="256">
        <f t="shared" si="25"/>
        <v>-2670</v>
      </c>
      <c r="X14" s="256">
        <f t="shared" si="4"/>
        <v>-677</v>
      </c>
      <c r="AD14" s="55"/>
    </row>
    <row r="15" spans="1:30">
      <c r="A15" s="107" t="s">
        <v>295</v>
      </c>
      <c r="B15" s="102" t="s">
        <v>104</v>
      </c>
      <c r="C15" s="6">
        <v>40068</v>
      </c>
      <c r="D15" s="6">
        <f t="shared" si="18"/>
        <v>41418</v>
      </c>
      <c r="E15" s="6">
        <f t="shared" si="18"/>
        <v>43407</v>
      </c>
      <c r="F15" s="6">
        <f t="shared" si="18"/>
        <v>44625</v>
      </c>
      <c r="G15" s="6">
        <v>36975</v>
      </c>
      <c r="H15" s="6">
        <f t="shared" si="19"/>
        <v>37068</v>
      </c>
      <c r="I15" s="6">
        <f t="shared" si="19"/>
        <v>36443</v>
      </c>
      <c r="J15" s="6">
        <f t="shared" si="19"/>
        <v>41134</v>
      </c>
      <c r="K15" s="6">
        <f t="shared" si="20"/>
        <v>32903</v>
      </c>
      <c r="L15" s="6">
        <f t="shared" si="21"/>
        <v>45774</v>
      </c>
      <c r="M15" s="6">
        <f t="shared" si="21"/>
        <v>45463</v>
      </c>
      <c r="N15" s="6">
        <f t="shared" si="21"/>
        <v>39007</v>
      </c>
      <c r="O15" s="256">
        <f t="shared" si="22"/>
        <v>43684</v>
      </c>
      <c r="P15" s="256">
        <f t="shared" si="23"/>
        <v>27949</v>
      </c>
      <c r="Q15" s="256">
        <f t="shared" si="23"/>
        <v>34603</v>
      </c>
      <c r="R15" s="256">
        <f t="shared" si="23"/>
        <v>14285</v>
      </c>
      <c r="S15" s="256">
        <f t="shared" si="24"/>
        <v>23155</v>
      </c>
      <c r="T15" s="256">
        <f t="shared" si="4"/>
        <v>-10843</v>
      </c>
      <c r="U15" s="256">
        <f t="shared" si="4"/>
        <v>-89173</v>
      </c>
      <c r="V15" s="256">
        <f t="shared" si="4"/>
        <v>-72138</v>
      </c>
      <c r="W15" s="256">
        <f t="shared" si="25"/>
        <v>-63141</v>
      </c>
      <c r="X15" s="256">
        <f t="shared" si="4"/>
        <v>-59874</v>
      </c>
      <c r="AD15" s="55"/>
    </row>
    <row r="16" spans="1:30">
      <c r="A16" s="107" t="s">
        <v>6</v>
      </c>
      <c r="B16" s="102" t="s">
        <v>296</v>
      </c>
      <c r="C16" s="6">
        <v>25458</v>
      </c>
      <c r="D16" s="6">
        <f t="shared" si="18"/>
        <v>10980</v>
      </c>
      <c r="E16" s="6">
        <f t="shared" si="18"/>
        <v>20924</v>
      </c>
      <c r="F16" s="6">
        <f t="shared" si="18"/>
        <v>12547</v>
      </c>
      <c r="G16" s="6">
        <v>13733</v>
      </c>
      <c r="H16" s="6">
        <f t="shared" si="19"/>
        <v>11158</v>
      </c>
      <c r="I16" s="6">
        <f t="shared" si="19"/>
        <v>9742</v>
      </c>
      <c r="J16" s="6">
        <f t="shared" si="19"/>
        <v>16077</v>
      </c>
      <c r="K16" s="6">
        <f t="shared" si="20"/>
        <v>39518</v>
      </c>
      <c r="L16" s="6">
        <f t="shared" si="21"/>
        <v>12147</v>
      </c>
      <c r="M16" s="6">
        <f t="shared" si="21"/>
        <v>28466</v>
      </c>
      <c r="N16" s="6">
        <f t="shared" si="21"/>
        <v>17451</v>
      </c>
      <c r="O16" s="256">
        <f t="shared" si="22"/>
        <v>12593</v>
      </c>
      <c r="P16" s="256">
        <f t="shared" si="23"/>
        <v>52084</v>
      </c>
      <c r="Q16" s="256">
        <f t="shared" si="23"/>
        <v>23898</v>
      </c>
      <c r="R16" s="256">
        <f t="shared" si="23"/>
        <v>72191</v>
      </c>
      <c r="S16" s="256">
        <f t="shared" si="24"/>
        <v>43636</v>
      </c>
      <c r="T16" s="256">
        <f t="shared" si="4"/>
        <v>72804</v>
      </c>
      <c r="U16" s="256">
        <f t="shared" si="4"/>
        <v>94249</v>
      </c>
      <c r="V16" s="256">
        <f t="shared" si="4"/>
        <v>106606</v>
      </c>
      <c r="W16" s="256">
        <f t="shared" si="25"/>
        <v>73597</v>
      </c>
      <c r="X16" s="256">
        <f t="shared" si="4"/>
        <v>67381</v>
      </c>
      <c r="AD16" s="55"/>
    </row>
    <row r="17" spans="1:30">
      <c r="A17" s="107" t="s">
        <v>11</v>
      </c>
      <c r="B17" s="102" t="s">
        <v>297</v>
      </c>
      <c r="C17" s="6">
        <v>-15466</v>
      </c>
      <c r="D17" s="6">
        <f t="shared" si="18"/>
        <v>-13042</v>
      </c>
      <c r="E17" s="6">
        <f t="shared" si="18"/>
        <v>-20092</v>
      </c>
      <c r="F17" s="6">
        <f t="shared" si="18"/>
        <v>-29350</v>
      </c>
      <c r="G17" s="6">
        <v>-10986</v>
      </c>
      <c r="H17" s="6">
        <f t="shared" si="19"/>
        <v>-13072</v>
      </c>
      <c r="I17" s="6">
        <f t="shared" si="19"/>
        <v>-10288</v>
      </c>
      <c r="J17" s="6">
        <f t="shared" si="19"/>
        <v>-15682</v>
      </c>
      <c r="K17" s="6">
        <f t="shared" si="20"/>
        <v>-16106</v>
      </c>
      <c r="L17" s="6">
        <f t="shared" si="21"/>
        <v>-14813</v>
      </c>
      <c r="M17" s="6">
        <f t="shared" si="21"/>
        <v>-54350</v>
      </c>
      <c r="N17" s="6">
        <f t="shared" si="21"/>
        <v>-18720</v>
      </c>
      <c r="O17" s="256">
        <f t="shared" si="22"/>
        <v>-25060</v>
      </c>
      <c r="P17" s="256">
        <f t="shared" si="23"/>
        <v>-90742</v>
      </c>
      <c r="Q17" s="256">
        <f t="shared" si="23"/>
        <v>-21112</v>
      </c>
      <c r="R17" s="256">
        <f t="shared" si="23"/>
        <v>-112146</v>
      </c>
      <c r="S17" s="256">
        <f t="shared" si="24"/>
        <v>-29020</v>
      </c>
      <c r="T17" s="256">
        <f t="shared" si="4"/>
        <v>-23652</v>
      </c>
      <c r="U17" s="256">
        <f t="shared" si="4"/>
        <v>-27197</v>
      </c>
      <c r="V17" s="256">
        <f t="shared" si="4"/>
        <v>-159641</v>
      </c>
      <c r="W17" s="256">
        <f t="shared" si="25"/>
        <v>-35328</v>
      </c>
      <c r="X17" s="256">
        <f t="shared" si="4"/>
        <v>-42579</v>
      </c>
      <c r="AD17" s="55"/>
    </row>
    <row r="18" spans="1:30">
      <c r="A18" s="174" t="s">
        <v>350</v>
      </c>
      <c r="B18" s="104" t="s">
        <v>349</v>
      </c>
      <c r="C18" s="7">
        <f t="shared" ref="C18:J18" si="26">SUM(C9:C17,C6)</f>
        <v>622865</v>
      </c>
      <c r="D18" s="7">
        <f t="shared" si="26"/>
        <v>634914</v>
      </c>
      <c r="E18" s="7">
        <f t="shared" si="26"/>
        <v>657624</v>
      </c>
      <c r="F18" s="7">
        <f t="shared" si="26"/>
        <v>656198</v>
      </c>
      <c r="G18" s="7">
        <f t="shared" si="26"/>
        <v>656427</v>
      </c>
      <c r="H18" s="7">
        <f t="shared" si="26"/>
        <v>668879</v>
      </c>
      <c r="I18" s="7">
        <f t="shared" si="26"/>
        <v>689591</v>
      </c>
      <c r="J18" s="7">
        <f t="shared" si="26"/>
        <v>712740</v>
      </c>
      <c r="K18" s="7">
        <f t="shared" ref="K18:X18" si="27">SUM(K9:K17,K6)</f>
        <v>740836</v>
      </c>
      <c r="L18" s="7">
        <f t="shared" si="27"/>
        <v>822605.37461358006</v>
      </c>
      <c r="M18" s="7">
        <f t="shared" si="27"/>
        <v>953937.62538641994</v>
      </c>
      <c r="N18" s="7">
        <f t="shared" si="27"/>
        <v>954144</v>
      </c>
      <c r="O18" s="257">
        <f t="shared" si="27"/>
        <v>920727</v>
      </c>
      <c r="P18" s="257">
        <f t="shared" si="27"/>
        <v>860315</v>
      </c>
      <c r="Q18" s="257">
        <f t="shared" si="27"/>
        <v>887248.68714000005</v>
      </c>
      <c r="R18" s="257">
        <f t="shared" si="27"/>
        <v>909485.66165999998</v>
      </c>
      <c r="S18" s="257">
        <f t="shared" si="27"/>
        <v>866960</v>
      </c>
      <c r="T18" s="257">
        <f t="shared" si="27"/>
        <v>922485</v>
      </c>
      <c r="U18" s="257">
        <f t="shared" si="27"/>
        <v>845590</v>
      </c>
      <c r="V18" s="257">
        <f t="shared" si="27"/>
        <v>923112</v>
      </c>
      <c r="W18" s="257">
        <f t="shared" si="27"/>
        <v>1159903</v>
      </c>
      <c r="X18" s="257">
        <f t="shared" si="27"/>
        <v>1336836</v>
      </c>
      <c r="AD18" s="55"/>
    </row>
    <row r="19" spans="1:30">
      <c r="A19" s="107" t="s">
        <v>489</v>
      </c>
      <c r="B19" s="102" t="s">
        <v>299</v>
      </c>
      <c r="C19" s="6">
        <v>-301331</v>
      </c>
      <c r="D19" s="6">
        <f t="shared" ref="D19:F20" si="28">+D57-C57</f>
        <v>-279478</v>
      </c>
      <c r="E19" s="6">
        <f t="shared" si="28"/>
        <v>-277520</v>
      </c>
      <c r="F19" s="6">
        <f t="shared" si="28"/>
        <v>-291394</v>
      </c>
      <c r="G19" s="6">
        <v>-316822</v>
      </c>
      <c r="H19" s="6">
        <f t="shared" ref="H19:J20" si="29">+H57-G57</f>
        <v>-288781</v>
      </c>
      <c r="I19" s="6">
        <f t="shared" si="29"/>
        <v>-302770</v>
      </c>
      <c r="J19" s="6">
        <f t="shared" si="29"/>
        <v>-305392</v>
      </c>
      <c r="K19" s="6">
        <f>+K57</f>
        <v>-351056</v>
      </c>
      <c r="L19" s="6">
        <f t="shared" ref="L19:N20" si="30">+L57-K57</f>
        <v>-331932</v>
      </c>
      <c r="M19" s="6">
        <f t="shared" si="30"/>
        <v>-426448</v>
      </c>
      <c r="N19" s="6">
        <f t="shared" si="30"/>
        <v>-435747</v>
      </c>
      <c r="O19" s="256">
        <f>+O57</f>
        <v>-464566</v>
      </c>
      <c r="P19" s="256">
        <f t="shared" ref="P19:R20" si="31">+P57-O57</f>
        <v>-351246</v>
      </c>
      <c r="Q19" s="256">
        <f t="shared" si="31"/>
        <v>-360348</v>
      </c>
      <c r="R19" s="256">
        <f t="shared" si="31"/>
        <v>-366219</v>
      </c>
      <c r="S19" s="256">
        <f>+S57</f>
        <v>-375885</v>
      </c>
      <c r="T19" s="256">
        <f t="shared" si="4"/>
        <v>-329304</v>
      </c>
      <c r="U19" s="256">
        <f t="shared" si="4"/>
        <v>-352116</v>
      </c>
      <c r="V19" s="256">
        <f t="shared" si="4"/>
        <v>-383401</v>
      </c>
      <c r="W19" s="256">
        <f t="shared" ref="W19:W20" si="32">+W57</f>
        <v>-434626</v>
      </c>
      <c r="X19" s="256">
        <f t="shared" si="4"/>
        <v>-624203</v>
      </c>
      <c r="AD19" s="55"/>
    </row>
    <row r="20" spans="1:30">
      <c r="A20" s="107" t="s">
        <v>300</v>
      </c>
      <c r="B20" s="102" t="s">
        <v>301</v>
      </c>
      <c r="C20" s="8">
        <v>-13119</v>
      </c>
      <c r="D20" s="8">
        <f t="shared" si="28"/>
        <v>-13740</v>
      </c>
      <c r="E20" s="8">
        <f t="shared" si="28"/>
        <v>-12995</v>
      </c>
      <c r="F20" s="8">
        <f t="shared" si="28"/>
        <v>-13117</v>
      </c>
      <c r="G20" s="8">
        <v>-13409</v>
      </c>
      <c r="H20" s="8">
        <f t="shared" si="29"/>
        <v>-13206</v>
      </c>
      <c r="I20" s="8">
        <f t="shared" si="29"/>
        <v>-13254</v>
      </c>
      <c r="J20" s="8">
        <f t="shared" si="29"/>
        <v>-14358</v>
      </c>
      <c r="K20" s="8">
        <f>+K58</f>
        <v>-33412</v>
      </c>
      <c r="L20" s="8">
        <f t="shared" si="30"/>
        <v>-39627</v>
      </c>
      <c r="M20" s="8">
        <f t="shared" si="30"/>
        <v>-53622</v>
      </c>
      <c r="N20" s="8">
        <f t="shared" si="30"/>
        <v>-54211</v>
      </c>
      <c r="O20" s="258">
        <f>+O58</f>
        <v>-53340</v>
      </c>
      <c r="P20" s="258">
        <f t="shared" si="31"/>
        <v>-53873</v>
      </c>
      <c r="Q20" s="258">
        <f t="shared" si="31"/>
        <v>-51743</v>
      </c>
      <c r="R20" s="258">
        <f t="shared" si="31"/>
        <v>-51455</v>
      </c>
      <c r="S20" s="258">
        <f>+S58</f>
        <v>-51448</v>
      </c>
      <c r="T20" s="258">
        <f t="shared" ref="T20:X20" si="33">+T58-S58</f>
        <v>-49227</v>
      </c>
      <c r="U20" s="258">
        <f t="shared" si="33"/>
        <v>-50195</v>
      </c>
      <c r="V20" s="258">
        <f t="shared" si="33"/>
        <v>-50725</v>
      </c>
      <c r="W20" s="258">
        <f t="shared" si="32"/>
        <v>-51602</v>
      </c>
      <c r="X20" s="258">
        <f t="shared" si="33"/>
        <v>-52625</v>
      </c>
      <c r="AD20" s="55"/>
    </row>
    <row r="21" spans="1:30">
      <c r="A21" s="174" t="s">
        <v>351</v>
      </c>
      <c r="B21" s="104" t="s">
        <v>352</v>
      </c>
      <c r="C21" s="7">
        <f t="shared" ref="C21:M21" si="34">SUM(C19:C20)</f>
        <v>-314450</v>
      </c>
      <c r="D21" s="7">
        <f t="shared" si="34"/>
        <v>-293218</v>
      </c>
      <c r="E21" s="7">
        <f t="shared" si="34"/>
        <v>-290515</v>
      </c>
      <c r="F21" s="7">
        <f t="shared" si="34"/>
        <v>-304511</v>
      </c>
      <c r="G21" s="7">
        <f t="shared" si="34"/>
        <v>-330231</v>
      </c>
      <c r="H21" s="7">
        <f t="shared" si="34"/>
        <v>-301987</v>
      </c>
      <c r="I21" s="7">
        <f t="shared" si="34"/>
        <v>-316024</v>
      </c>
      <c r="J21" s="7">
        <f t="shared" si="34"/>
        <v>-319750</v>
      </c>
      <c r="K21" s="7">
        <f t="shared" si="34"/>
        <v>-384468</v>
      </c>
      <c r="L21" s="7">
        <f t="shared" si="34"/>
        <v>-371559</v>
      </c>
      <c r="M21" s="7">
        <f t="shared" si="34"/>
        <v>-480070</v>
      </c>
      <c r="N21" s="7">
        <f>SUM(N19:N20)</f>
        <v>-489958</v>
      </c>
      <c r="O21" s="257">
        <f t="shared" ref="O21:X21" si="35">SUM(O19:O20)</f>
        <v>-517906</v>
      </c>
      <c r="P21" s="257">
        <f t="shared" si="35"/>
        <v>-405119</v>
      </c>
      <c r="Q21" s="257">
        <f t="shared" si="35"/>
        <v>-412091</v>
      </c>
      <c r="R21" s="257">
        <f t="shared" si="35"/>
        <v>-417674</v>
      </c>
      <c r="S21" s="257">
        <f t="shared" si="35"/>
        <v>-427333</v>
      </c>
      <c r="T21" s="257">
        <f t="shared" si="35"/>
        <v>-378531</v>
      </c>
      <c r="U21" s="257">
        <f t="shared" si="35"/>
        <v>-402311</v>
      </c>
      <c r="V21" s="257">
        <f t="shared" si="35"/>
        <v>-434126</v>
      </c>
      <c r="W21" s="257">
        <f t="shared" si="35"/>
        <v>-486228</v>
      </c>
      <c r="X21" s="257">
        <f t="shared" si="35"/>
        <v>-676828</v>
      </c>
      <c r="AD21" s="55"/>
    </row>
    <row r="22" spans="1:30">
      <c r="A22" s="107" t="s">
        <v>8</v>
      </c>
      <c r="B22" s="102" t="s">
        <v>111</v>
      </c>
      <c r="C22" s="6">
        <v>-59501</v>
      </c>
      <c r="D22" s="6">
        <f>+D60-C60</f>
        <v>-62779</v>
      </c>
      <c r="E22" s="6">
        <f>+E60-D60</f>
        <v>-69176</v>
      </c>
      <c r="F22" s="6">
        <f>+F60-E60</f>
        <v>-62703</v>
      </c>
      <c r="G22" s="6">
        <v>-47651</v>
      </c>
      <c r="H22" s="6">
        <f>+H60-G60</f>
        <v>-50138</v>
      </c>
      <c r="I22" s="6">
        <f>+I60-H60</f>
        <v>-52046</v>
      </c>
      <c r="J22" s="6">
        <f>+J60-I60</f>
        <v>-52132</v>
      </c>
      <c r="K22" s="6">
        <f>+K60</f>
        <v>-63094</v>
      </c>
      <c r="L22" s="6">
        <f>+L60-K60</f>
        <v>-154086</v>
      </c>
      <c r="M22" s="6">
        <f>+M60-L60</f>
        <v>-124998</v>
      </c>
      <c r="N22" s="6">
        <f>+N60-M60</f>
        <v>-60565</v>
      </c>
      <c r="O22" s="256">
        <f t="shared" ref="O22:O27" si="36">+O60</f>
        <v>-121565</v>
      </c>
      <c r="P22" s="256">
        <f t="shared" ref="P22:R27" si="37">+P60-O60</f>
        <v>-202069</v>
      </c>
      <c r="Q22" s="256">
        <f t="shared" si="37"/>
        <v>-142105</v>
      </c>
      <c r="R22" s="256">
        <f t="shared" si="37"/>
        <v>-91173</v>
      </c>
      <c r="S22" s="256">
        <f t="shared" ref="S22:S27" si="38">+S60</f>
        <v>-74370</v>
      </c>
      <c r="T22" s="256">
        <f t="shared" ref="T22:X27" si="39">+T60-S60</f>
        <v>-41479</v>
      </c>
      <c r="U22" s="256">
        <f t="shared" si="39"/>
        <v>-125519</v>
      </c>
      <c r="V22" s="256">
        <f t="shared" si="39"/>
        <v>-77023</v>
      </c>
      <c r="W22" s="256">
        <f t="shared" ref="W22:W27" si="40">+W60</f>
        <v>-78762</v>
      </c>
      <c r="X22" s="256">
        <f t="shared" si="39"/>
        <v>-68813</v>
      </c>
      <c r="AD22" s="55"/>
    </row>
    <row r="23" spans="1:30" s="69" customFormat="1">
      <c r="A23" s="116" t="s">
        <v>513</v>
      </c>
      <c r="B23" s="116" t="s">
        <v>512</v>
      </c>
      <c r="C23" s="6"/>
      <c r="D23" s="6"/>
      <c r="E23" s="6"/>
      <c r="F23" s="6"/>
      <c r="G23" s="6"/>
      <c r="H23" s="6"/>
      <c r="I23" s="6"/>
      <c r="J23" s="6"/>
      <c r="K23" s="6">
        <v>0</v>
      </c>
      <c r="L23" s="6">
        <v>0</v>
      </c>
      <c r="M23" s="6">
        <v>0</v>
      </c>
      <c r="N23" s="6">
        <v>0</v>
      </c>
      <c r="O23" s="256">
        <f t="shared" si="36"/>
        <v>-60000</v>
      </c>
      <c r="P23" s="256">
        <f t="shared" si="37"/>
        <v>60000</v>
      </c>
      <c r="Q23" s="256">
        <f t="shared" si="37"/>
        <v>0</v>
      </c>
      <c r="R23" s="256">
        <f t="shared" si="37"/>
        <v>0</v>
      </c>
      <c r="S23" s="256">
        <f t="shared" si="38"/>
        <v>0</v>
      </c>
      <c r="T23" s="256">
        <f t="shared" si="39"/>
        <v>0</v>
      </c>
      <c r="U23" s="256">
        <f t="shared" si="39"/>
        <v>0</v>
      </c>
      <c r="V23" s="256">
        <f t="shared" si="39"/>
        <v>0</v>
      </c>
      <c r="W23" s="256">
        <f t="shared" si="40"/>
        <v>0</v>
      </c>
      <c r="X23" s="256">
        <f t="shared" si="39"/>
        <v>0</v>
      </c>
      <c r="Y23" s="53"/>
      <c r="Z23" s="53"/>
      <c r="AA23" s="53"/>
      <c r="AB23" s="53"/>
      <c r="AC23" s="53"/>
      <c r="AD23" s="53"/>
    </row>
    <row r="24" spans="1:30">
      <c r="A24" s="107" t="s">
        <v>9</v>
      </c>
      <c r="B24" s="102" t="s">
        <v>112</v>
      </c>
      <c r="C24" s="6">
        <v>-230</v>
      </c>
      <c r="D24" s="6">
        <f>+D62-C62</f>
        <v>-191</v>
      </c>
      <c r="E24" s="6">
        <f>+E62-D62</f>
        <v>-522</v>
      </c>
      <c r="F24" s="6">
        <f>+F62-E62</f>
        <v>-256</v>
      </c>
      <c r="G24" s="6">
        <v>-38</v>
      </c>
      <c r="H24" s="6">
        <f>+H62-G62</f>
        <v>12</v>
      </c>
      <c r="I24" s="6">
        <f>+I62-H62</f>
        <v>-794</v>
      </c>
      <c r="J24" s="6">
        <f>+J62-I62</f>
        <v>311</v>
      </c>
      <c r="K24" s="6">
        <f>+K62</f>
        <v>-647</v>
      </c>
      <c r="L24" s="6">
        <f>+L62-K62</f>
        <v>-653</v>
      </c>
      <c r="M24" s="6">
        <f>+M62-L62</f>
        <v>-1005</v>
      </c>
      <c r="N24" s="6">
        <f>+N62-M62</f>
        <v>1112</v>
      </c>
      <c r="O24" s="256">
        <f t="shared" si="36"/>
        <v>-1764</v>
      </c>
      <c r="P24" s="256">
        <f t="shared" si="37"/>
        <v>-2827</v>
      </c>
      <c r="Q24" s="256">
        <f t="shared" si="37"/>
        <v>-587</v>
      </c>
      <c r="R24" s="256">
        <f t="shared" si="37"/>
        <v>-2712</v>
      </c>
      <c r="S24" s="256">
        <f t="shared" si="38"/>
        <v>-2377</v>
      </c>
      <c r="T24" s="256">
        <f t="shared" si="39"/>
        <v>-2562</v>
      </c>
      <c r="U24" s="256">
        <f t="shared" si="39"/>
        <v>-448</v>
      </c>
      <c r="V24" s="256">
        <f t="shared" si="39"/>
        <v>-2285</v>
      </c>
      <c r="W24" s="256">
        <f t="shared" si="40"/>
        <v>-2622</v>
      </c>
      <c r="X24" s="256">
        <f t="shared" si="39"/>
        <v>-347</v>
      </c>
      <c r="AD24" s="55"/>
    </row>
    <row r="25" spans="1:30" ht="24">
      <c r="A25" s="107" t="s">
        <v>433</v>
      </c>
      <c r="B25" s="102" t="s">
        <v>432</v>
      </c>
      <c r="C25" s="6"/>
      <c r="D25" s="6"/>
      <c r="E25" s="6"/>
      <c r="F25" s="6"/>
      <c r="G25" s="6"/>
      <c r="H25" s="6"/>
      <c r="I25" s="6"/>
      <c r="J25" s="6"/>
      <c r="K25" s="6">
        <v>0</v>
      </c>
      <c r="L25" s="6">
        <v>0</v>
      </c>
      <c r="M25" s="6">
        <v>0</v>
      </c>
      <c r="N25" s="6">
        <f>+N63-M63</f>
        <v>-223134</v>
      </c>
      <c r="O25" s="256">
        <f t="shared" si="36"/>
        <v>-55325</v>
      </c>
      <c r="P25" s="256">
        <f t="shared" si="37"/>
        <v>-112694</v>
      </c>
      <c r="Q25" s="256">
        <f t="shared" si="37"/>
        <v>-129654</v>
      </c>
      <c r="R25" s="256">
        <f t="shared" si="37"/>
        <v>-415944</v>
      </c>
      <c r="S25" s="256">
        <f t="shared" si="38"/>
        <v>-533403</v>
      </c>
      <c r="T25" s="256">
        <f t="shared" si="39"/>
        <v>-513641</v>
      </c>
      <c r="U25" s="256">
        <f t="shared" si="39"/>
        <v>-526113</v>
      </c>
      <c r="V25" s="256">
        <f t="shared" si="39"/>
        <v>-732000</v>
      </c>
      <c r="W25" s="256">
        <f t="shared" si="40"/>
        <v>-499180</v>
      </c>
      <c r="X25" s="256">
        <f t="shared" si="39"/>
        <v>-515450</v>
      </c>
      <c r="AD25" s="55"/>
    </row>
    <row r="26" spans="1:30">
      <c r="A26" s="107" t="s">
        <v>302</v>
      </c>
      <c r="B26" s="102" t="s">
        <v>303</v>
      </c>
      <c r="C26" s="6">
        <v>0</v>
      </c>
      <c r="D26" s="6">
        <f t="shared" ref="D26:F27" si="41">+D64-C64</f>
        <v>0</v>
      </c>
      <c r="E26" s="6">
        <f t="shared" si="41"/>
        <v>0</v>
      </c>
      <c r="F26" s="6">
        <f t="shared" si="41"/>
        <v>0</v>
      </c>
      <c r="G26" s="6">
        <v>-4299</v>
      </c>
      <c r="H26" s="6">
        <f t="shared" ref="H26:J27" si="42">+H64-G64</f>
        <v>-3064</v>
      </c>
      <c r="I26" s="6">
        <f t="shared" si="42"/>
        <v>-2824</v>
      </c>
      <c r="J26" s="6">
        <f t="shared" si="42"/>
        <v>-3970</v>
      </c>
      <c r="K26" s="6">
        <f>+K64</f>
        <v>-3666</v>
      </c>
      <c r="L26" s="6">
        <f>+L64-K64</f>
        <v>-2969</v>
      </c>
      <c r="M26" s="6">
        <f>+M64-L64</f>
        <v>-2552</v>
      </c>
      <c r="N26" s="6">
        <f>+N64-M64</f>
        <v>-2476</v>
      </c>
      <c r="O26" s="256">
        <f t="shared" si="36"/>
        <v>-1949</v>
      </c>
      <c r="P26" s="256">
        <f t="shared" si="37"/>
        <v>-6283</v>
      </c>
      <c r="Q26" s="256">
        <f t="shared" si="37"/>
        <v>-1858</v>
      </c>
      <c r="R26" s="256">
        <f t="shared" si="37"/>
        <v>-3475</v>
      </c>
      <c r="S26" s="256">
        <f t="shared" si="38"/>
        <v>-3545</v>
      </c>
      <c r="T26" s="256">
        <f t="shared" si="39"/>
        <v>-3186</v>
      </c>
      <c r="U26" s="256">
        <f t="shared" si="39"/>
        <v>-2705</v>
      </c>
      <c r="V26" s="256">
        <f t="shared" si="39"/>
        <v>-3403</v>
      </c>
      <c r="W26" s="256">
        <f t="shared" si="40"/>
        <v>-3777</v>
      </c>
      <c r="X26" s="256">
        <f t="shared" si="39"/>
        <v>-5027</v>
      </c>
      <c r="AD26" s="55"/>
    </row>
    <row r="27" spans="1:30" ht="24">
      <c r="A27" s="107" t="s">
        <v>399</v>
      </c>
      <c r="B27" s="102" t="s">
        <v>400</v>
      </c>
      <c r="C27" s="6"/>
      <c r="D27" s="6">
        <f t="shared" si="41"/>
        <v>0</v>
      </c>
      <c r="E27" s="6">
        <f t="shared" si="41"/>
        <v>0</v>
      </c>
      <c r="F27" s="6">
        <f t="shared" si="41"/>
        <v>0</v>
      </c>
      <c r="G27" s="6">
        <v>-3136</v>
      </c>
      <c r="H27" s="6">
        <f t="shared" si="42"/>
        <v>-5066</v>
      </c>
      <c r="I27" s="6">
        <f t="shared" si="42"/>
        <v>-5116</v>
      </c>
      <c r="J27" s="6">
        <f t="shared" si="42"/>
        <v>-6612</v>
      </c>
      <c r="K27" s="6">
        <f>+K65</f>
        <v>-4929</v>
      </c>
      <c r="L27" s="6">
        <f>+L65-K65</f>
        <v>-172</v>
      </c>
      <c r="M27" s="6">
        <f>+M65-L65</f>
        <v>-7800</v>
      </c>
      <c r="N27" s="6">
        <f>+N65-M65</f>
        <v>-10500</v>
      </c>
      <c r="O27" s="256">
        <f t="shared" si="36"/>
        <v>-11679</v>
      </c>
      <c r="P27" s="256">
        <f t="shared" si="37"/>
        <v>-14738</v>
      </c>
      <c r="Q27" s="256">
        <f t="shared" si="37"/>
        <v>-5754.6871400000018</v>
      </c>
      <c r="R27" s="256">
        <f t="shared" si="37"/>
        <v>-10748.661659999998</v>
      </c>
      <c r="S27" s="256">
        <f t="shared" si="38"/>
        <v>4079</v>
      </c>
      <c r="T27" s="256">
        <f t="shared" si="39"/>
        <v>-10070</v>
      </c>
      <c r="U27" s="256">
        <f t="shared" si="39"/>
        <v>45196</v>
      </c>
      <c r="V27" s="256">
        <f t="shared" si="39"/>
        <v>676</v>
      </c>
      <c r="W27" s="256">
        <f t="shared" si="40"/>
        <v>2081</v>
      </c>
      <c r="X27" s="256">
        <f t="shared" si="39"/>
        <v>3489</v>
      </c>
      <c r="AD27" s="55"/>
    </row>
    <row r="28" spans="1:30">
      <c r="A28" s="174" t="s">
        <v>304</v>
      </c>
      <c r="B28" s="104" t="s">
        <v>113</v>
      </c>
      <c r="C28" s="7">
        <f t="shared" ref="C28:J28" si="43">SUM(C22:C27,C21,C18)</f>
        <v>248684</v>
      </c>
      <c r="D28" s="7">
        <f t="shared" si="43"/>
        <v>278726</v>
      </c>
      <c r="E28" s="7">
        <f t="shared" si="43"/>
        <v>297411</v>
      </c>
      <c r="F28" s="7">
        <f t="shared" si="43"/>
        <v>288728</v>
      </c>
      <c r="G28" s="7">
        <f t="shared" si="43"/>
        <v>271072</v>
      </c>
      <c r="H28" s="7">
        <f t="shared" si="43"/>
        <v>308636</v>
      </c>
      <c r="I28" s="7">
        <f t="shared" si="43"/>
        <v>312787</v>
      </c>
      <c r="J28" s="7">
        <f t="shared" si="43"/>
        <v>330587</v>
      </c>
      <c r="K28" s="7">
        <f t="shared" ref="K28:X28" si="44">SUM(K22:K27,K21,K18)</f>
        <v>284032</v>
      </c>
      <c r="L28" s="7">
        <f t="shared" si="44"/>
        <v>293166.37461358006</v>
      </c>
      <c r="M28" s="7">
        <f t="shared" si="44"/>
        <v>337512.62538641994</v>
      </c>
      <c r="N28" s="7">
        <f t="shared" si="44"/>
        <v>168623</v>
      </c>
      <c r="O28" s="257">
        <f t="shared" si="44"/>
        <v>150539</v>
      </c>
      <c r="P28" s="257">
        <f t="shared" si="44"/>
        <v>176585</v>
      </c>
      <c r="Q28" s="257">
        <f t="shared" si="44"/>
        <v>195199</v>
      </c>
      <c r="R28" s="257">
        <f t="shared" si="44"/>
        <v>-32241</v>
      </c>
      <c r="S28" s="257">
        <f t="shared" si="44"/>
        <v>-169989</v>
      </c>
      <c r="T28" s="257">
        <f t="shared" si="44"/>
        <v>-26984</v>
      </c>
      <c r="U28" s="257">
        <f t="shared" si="44"/>
        <v>-166310</v>
      </c>
      <c r="V28" s="257">
        <f t="shared" si="44"/>
        <v>-325049</v>
      </c>
      <c r="W28" s="257">
        <f t="shared" si="44"/>
        <v>91415</v>
      </c>
      <c r="X28" s="257">
        <f t="shared" si="44"/>
        <v>73860</v>
      </c>
      <c r="AD28" s="55"/>
    </row>
    <row r="29" spans="1:30">
      <c r="A29" s="107" t="s">
        <v>305</v>
      </c>
      <c r="B29" s="102" t="s">
        <v>306</v>
      </c>
      <c r="C29" s="6">
        <v>0</v>
      </c>
      <c r="D29" s="6">
        <f t="shared" ref="D29:F30" si="45">+D67-C67</f>
        <v>0</v>
      </c>
      <c r="E29" s="6">
        <f t="shared" si="45"/>
        <v>0</v>
      </c>
      <c r="F29" s="6">
        <f t="shared" si="45"/>
        <v>0</v>
      </c>
      <c r="G29" s="6">
        <v>0</v>
      </c>
      <c r="H29" s="6">
        <f t="shared" ref="H29:J30" si="46">+H67-G67</f>
        <v>0</v>
      </c>
      <c r="I29" s="6">
        <f t="shared" si="46"/>
        <v>0</v>
      </c>
      <c r="J29" s="6">
        <f t="shared" si="46"/>
        <v>0</v>
      </c>
      <c r="K29" s="6">
        <f>+K67</f>
        <v>0</v>
      </c>
      <c r="L29" s="6">
        <f t="shared" ref="L29:N30" si="47">+L67-K67</f>
        <v>0</v>
      </c>
      <c r="M29" s="6">
        <f t="shared" si="47"/>
        <v>0</v>
      </c>
      <c r="N29" s="6">
        <f t="shared" si="47"/>
        <v>0</v>
      </c>
      <c r="O29" s="256">
        <f>+O67</f>
        <v>0</v>
      </c>
      <c r="P29" s="256">
        <f t="shared" ref="P29:R30" si="48">+P67-O67</f>
        <v>0</v>
      </c>
      <c r="Q29" s="256">
        <f t="shared" si="48"/>
        <v>0</v>
      </c>
      <c r="R29" s="256">
        <f t="shared" si="48"/>
        <v>0</v>
      </c>
      <c r="S29" s="256">
        <f>+S67</f>
        <v>0</v>
      </c>
      <c r="T29" s="256">
        <f t="shared" ref="T29:X30" si="49">+T67-S67</f>
        <v>0</v>
      </c>
      <c r="U29" s="256">
        <f t="shared" si="49"/>
        <v>0</v>
      </c>
      <c r="V29" s="256">
        <f t="shared" si="49"/>
        <v>0</v>
      </c>
      <c r="W29" s="256">
        <f t="shared" ref="W29:W30" si="50">+W67</f>
        <v>0</v>
      </c>
      <c r="X29" s="256">
        <f t="shared" si="49"/>
        <v>0</v>
      </c>
      <c r="AD29" s="55"/>
    </row>
    <row r="30" spans="1:30">
      <c r="A30" s="107" t="s">
        <v>247</v>
      </c>
      <c r="B30" s="102" t="s">
        <v>248</v>
      </c>
      <c r="C30" s="6">
        <v>-47230</v>
      </c>
      <c r="D30" s="6">
        <f t="shared" si="45"/>
        <v>-46450</v>
      </c>
      <c r="E30" s="6">
        <f t="shared" si="45"/>
        <v>-46376</v>
      </c>
      <c r="F30" s="6">
        <f t="shared" si="45"/>
        <v>-48270</v>
      </c>
      <c r="G30" s="6">
        <v>-52178</v>
      </c>
      <c r="H30" s="6">
        <f t="shared" si="46"/>
        <v>-48478</v>
      </c>
      <c r="I30" s="6">
        <f t="shared" si="46"/>
        <v>-47869</v>
      </c>
      <c r="J30" s="6">
        <f t="shared" si="46"/>
        <v>-49952</v>
      </c>
      <c r="K30" s="6">
        <f>+K68</f>
        <v>-51358</v>
      </c>
      <c r="L30" s="6">
        <f t="shared" si="47"/>
        <v>-58650</v>
      </c>
      <c r="M30" s="6">
        <f t="shared" si="47"/>
        <v>-68849</v>
      </c>
      <c r="N30" s="6">
        <f t="shared" si="47"/>
        <v>-69134</v>
      </c>
      <c r="O30" s="256">
        <f>+O68</f>
        <v>-72741</v>
      </c>
      <c r="P30" s="256">
        <f t="shared" si="48"/>
        <v>-68447</v>
      </c>
      <c r="Q30" s="256">
        <f t="shared" si="48"/>
        <v>-67839</v>
      </c>
      <c r="R30" s="256">
        <f t="shared" si="48"/>
        <v>-70120</v>
      </c>
      <c r="S30" s="256">
        <f>+S68</f>
        <v>-75041</v>
      </c>
      <c r="T30" s="256">
        <f t="shared" si="49"/>
        <v>-76927</v>
      </c>
      <c r="U30" s="256">
        <f t="shared" si="49"/>
        <v>-78631</v>
      </c>
      <c r="V30" s="256">
        <f t="shared" si="49"/>
        <v>-82012</v>
      </c>
      <c r="W30" s="256">
        <f t="shared" si="50"/>
        <v>-81984</v>
      </c>
      <c r="X30" s="256">
        <f t="shared" si="49"/>
        <v>-86840</v>
      </c>
      <c r="AD30" s="55"/>
    </row>
    <row r="31" spans="1:30" ht="24">
      <c r="A31" s="174" t="s">
        <v>307</v>
      </c>
      <c r="B31" s="104" t="s">
        <v>308</v>
      </c>
      <c r="C31" s="7">
        <f t="shared" ref="C31:J31" si="51">SUM(C28:C30)</f>
        <v>201454</v>
      </c>
      <c r="D31" s="7">
        <f t="shared" si="51"/>
        <v>232276</v>
      </c>
      <c r="E31" s="7">
        <f t="shared" si="51"/>
        <v>251035</v>
      </c>
      <c r="F31" s="7">
        <f t="shared" si="51"/>
        <v>240458</v>
      </c>
      <c r="G31" s="7">
        <f t="shared" si="51"/>
        <v>218894</v>
      </c>
      <c r="H31" s="7">
        <f t="shared" si="51"/>
        <v>260158</v>
      </c>
      <c r="I31" s="7">
        <f t="shared" si="51"/>
        <v>264918</v>
      </c>
      <c r="J31" s="7">
        <f t="shared" si="51"/>
        <v>280635</v>
      </c>
      <c r="K31" s="7">
        <f t="shared" ref="K31:X31" si="52">SUM(K28:K30)</f>
        <v>232674</v>
      </c>
      <c r="L31" s="7">
        <f t="shared" si="52"/>
        <v>234516.37461358006</v>
      </c>
      <c r="M31" s="7">
        <f t="shared" si="52"/>
        <v>268663.62538641994</v>
      </c>
      <c r="N31" s="7">
        <f t="shared" si="52"/>
        <v>99489</v>
      </c>
      <c r="O31" s="257">
        <f t="shared" si="52"/>
        <v>77798</v>
      </c>
      <c r="P31" s="257">
        <f t="shared" si="52"/>
        <v>108138</v>
      </c>
      <c r="Q31" s="257">
        <f t="shared" si="52"/>
        <v>127360</v>
      </c>
      <c r="R31" s="257">
        <f t="shared" si="52"/>
        <v>-102361</v>
      </c>
      <c r="S31" s="257">
        <f t="shared" si="52"/>
        <v>-245030</v>
      </c>
      <c r="T31" s="257">
        <f t="shared" si="52"/>
        <v>-103911</v>
      </c>
      <c r="U31" s="257">
        <f t="shared" si="52"/>
        <v>-244941</v>
      </c>
      <c r="V31" s="257">
        <f t="shared" si="52"/>
        <v>-407061</v>
      </c>
      <c r="W31" s="257">
        <f t="shared" si="52"/>
        <v>9431</v>
      </c>
      <c r="X31" s="257">
        <f t="shared" si="52"/>
        <v>-12980</v>
      </c>
      <c r="AD31" s="55"/>
    </row>
    <row r="32" spans="1:30" ht="12.5" thickBot="1">
      <c r="A32" s="175" t="s">
        <v>15</v>
      </c>
      <c r="B32" s="105" t="s">
        <v>117</v>
      </c>
      <c r="C32" s="9">
        <v>-60956</v>
      </c>
      <c r="D32" s="9">
        <f>+D70-C70</f>
        <v>-58678</v>
      </c>
      <c r="E32" s="9">
        <f>+E70-D70</f>
        <v>-63551</v>
      </c>
      <c r="F32" s="9">
        <f>+F70-E70</f>
        <v>-60811</v>
      </c>
      <c r="G32" s="9">
        <v>-63618</v>
      </c>
      <c r="H32" s="9">
        <f>+H70-G70</f>
        <v>-67489</v>
      </c>
      <c r="I32" s="9">
        <f>+I70-H70</f>
        <v>-64729</v>
      </c>
      <c r="J32" s="9">
        <f>+J70-I70</f>
        <v>-68118</v>
      </c>
      <c r="K32" s="9">
        <f>+K70</f>
        <v>-72708</v>
      </c>
      <c r="L32" s="9">
        <f>+L70-K70</f>
        <v>-60859</v>
      </c>
      <c r="M32" s="9">
        <f>+M70-L70</f>
        <v>-68524</v>
      </c>
      <c r="N32" s="9">
        <f>+N70-M70</f>
        <v>-72520</v>
      </c>
      <c r="O32" s="259">
        <f>+O70</f>
        <v>-59669</v>
      </c>
      <c r="P32" s="259">
        <f>+P70-O70</f>
        <v>-54543</v>
      </c>
      <c r="Q32" s="259">
        <f>+Q70-P70</f>
        <v>-67214</v>
      </c>
      <c r="R32" s="259">
        <f>+R70-Q70</f>
        <v>-6692</v>
      </c>
      <c r="S32" s="259">
        <f>+S70</f>
        <v>-66308</v>
      </c>
      <c r="T32" s="259">
        <f t="shared" ref="T32:X32" si="53">+T70-S70</f>
        <v>-96399</v>
      </c>
      <c r="U32" s="259">
        <f t="shared" si="53"/>
        <v>-66367</v>
      </c>
      <c r="V32" s="259">
        <f t="shared" si="53"/>
        <v>-101849</v>
      </c>
      <c r="W32" s="259">
        <f>+W70</f>
        <v>-131771</v>
      </c>
      <c r="X32" s="259">
        <f t="shared" si="53"/>
        <v>-127281</v>
      </c>
      <c r="AD32" s="55"/>
    </row>
    <row r="33" spans="1:30" ht="12.5" thickBot="1">
      <c r="A33" s="108" t="s">
        <v>309</v>
      </c>
      <c r="B33" s="106" t="s">
        <v>116</v>
      </c>
      <c r="C33" s="3">
        <f t="shared" ref="C33:J33" si="54">+C32+C31</f>
        <v>140498</v>
      </c>
      <c r="D33" s="3">
        <f t="shared" si="54"/>
        <v>173598</v>
      </c>
      <c r="E33" s="3">
        <f t="shared" si="54"/>
        <v>187484</v>
      </c>
      <c r="F33" s="3">
        <f t="shared" si="54"/>
        <v>179647</v>
      </c>
      <c r="G33" s="3">
        <f t="shared" si="54"/>
        <v>155276</v>
      </c>
      <c r="H33" s="3">
        <f t="shared" si="54"/>
        <v>192669</v>
      </c>
      <c r="I33" s="3">
        <f t="shared" si="54"/>
        <v>200189</v>
      </c>
      <c r="J33" s="3">
        <f t="shared" si="54"/>
        <v>212517</v>
      </c>
      <c r="K33" s="3">
        <f t="shared" ref="K33:X33" si="55">+K32+K31</f>
        <v>159966</v>
      </c>
      <c r="L33" s="3">
        <f t="shared" si="55"/>
        <v>173657.37461358006</v>
      </c>
      <c r="M33" s="3">
        <f t="shared" si="55"/>
        <v>200139.62538641994</v>
      </c>
      <c r="N33" s="3">
        <f t="shared" si="55"/>
        <v>26969</v>
      </c>
      <c r="O33" s="3">
        <f t="shared" si="55"/>
        <v>18129</v>
      </c>
      <c r="P33" s="3">
        <f t="shared" si="55"/>
        <v>53595</v>
      </c>
      <c r="Q33" s="3">
        <f t="shared" si="55"/>
        <v>60146</v>
      </c>
      <c r="R33" s="3">
        <f t="shared" si="55"/>
        <v>-109053</v>
      </c>
      <c r="S33" s="3">
        <f t="shared" si="55"/>
        <v>-311338</v>
      </c>
      <c r="T33" s="3">
        <f t="shared" si="55"/>
        <v>-200310</v>
      </c>
      <c r="U33" s="3">
        <f t="shared" si="55"/>
        <v>-311308</v>
      </c>
      <c r="V33" s="3">
        <f t="shared" si="55"/>
        <v>-508910</v>
      </c>
      <c r="W33" s="3">
        <f t="shared" si="55"/>
        <v>-122340</v>
      </c>
      <c r="X33" s="3">
        <f t="shared" si="55"/>
        <v>-140261</v>
      </c>
      <c r="AD33" s="55"/>
    </row>
    <row r="34" spans="1:30">
      <c r="A34" s="176" t="s">
        <v>17</v>
      </c>
      <c r="B34" s="103" t="s">
        <v>92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AD34" s="55"/>
    </row>
    <row r="35" spans="1:30">
      <c r="A35" s="177" t="s">
        <v>18</v>
      </c>
      <c r="B35" s="148" t="s">
        <v>310</v>
      </c>
      <c r="C35" s="6">
        <v>140498</v>
      </c>
      <c r="D35" s="6">
        <f t="shared" ref="D35:F36" si="56">+D73-C73</f>
        <v>173598</v>
      </c>
      <c r="E35" s="6">
        <f t="shared" si="56"/>
        <v>187484</v>
      </c>
      <c r="F35" s="6">
        <f t="shared" si="56"/>
        <v>179647</v>
      </c>
      <c r="G35" s="6">
        <v>155276</v>
      </c>
      <c r="H35" s="6">
        <f t="shared" ref="H35:J36" si="57">+H73-G73</f>
        <v>192669</v>
      </c>
      <c r="I35" s="6">
        <f t="shared" si="57"/>
        <v>200189</v>
      </c>
      <c r="J35" s="6">
        <f t="shared" si="57"/>
        <v>212517</v>
      </c>
      <c r="K35" s="6">
        <f>+K73</f>
        <v>159966</v>
      </c>
      <c r="L35" s="6">
        <f>+L73-K73</f>
        <v>173657.37461358006</v>
      </c>
      <c r="M35" s="6">
        <f>+M73-L73</f>
        <v>200139.62538641994</v>
      </c>
      <c r="N35" s="6">
        <f>+N73-M73</f>
        <v>26969</v>
      </c>
      <c r="O35" s="256">
        <f>+O73</f>
        <v>18129</v>
      </c>
      <c r="P35" s="256">
        <f t="shared" ref="P35:R36" si="58">+P73-O73</f>
        <v>53595</v>
      </c>
      <c r="Q35" s="256">
        <f t="shared" si="58"/>
        <v>60146</v>
      </c>
      <c r="R35" s="256">
        <f t="shared" si="58"/>
        <v>-109053</v>
      </c>
      <c r="S35" s="256">
        <f>+S73</f>
        <v>-311338</v>
      </c>
      <c r="T35" s="256">
        <f t="shared" ref="T35:X36" si="59">+T73-S73</f>
        <v>-200310</v>
      </c>
      <c r="U35" s="256">
        <f t="shared" si="59"/>
        <v>-311308</v>
      </c>
      <c r="V35" s="256">
        <f t="shared" si="59"/>
        <v>-508910</v>
      </c>
      <c r="W35" s="256">
        <f t="shared" ref="W35:W36" si="60">+W73</f>
        <v>-122340</v>
      </c>
      <c r="X35" s="256">
        <f t="shared" si="59"/>
        <v>-140261</v>
      </c>
      <c r="AD35" s="55"/>
    </row>
    <row r="36" spans="1:30">
      <c r="A36" s="177" t="s">
        <v>19</v>
      </c>
      <c r="B36" s="148" t="s">
        <v>311</v>
      </c>
      <c r="C36" s="6">
        <v>0</v>
      </c>
      <c r="D36" s="6">
        <f t="shared" si="56"/>
        <v>0</v>
      </c>
      <c r="E36" s="6">
        <f t="shared" si="56"/>
        <v>0</v>
      </c>
      <c r="F36" s="6">
        <f t="shared" si="56"/>
        <v>0</v>
      </c>
      <c r="G36" s="6">
        <v>0</v>
      </c>
      <c r="H36" s="6">
        <f t="shared" si="57"/>
        <v>0</v>
      </c>
      <c r="I36" s="6">
        <f t="shared" si="57"/>
        <v>0</v>
      </c>
      <c r="J36" s="6">
        <f t="shared" si="57"/>
        <v>0</v>
      </c>
      <c r="K36" s="6">
        <f>+K74-J74</f>
        <v>0</v>
      </c>
      <c r="L36" s="6">
        <f>+L74-I74</f>
        <v>0</v>
      </c>
      <c r="M36" s="6">
        <f>+M74-J74</f>
        <v>0</v>
      </c>
      <c r="N36" s="6">
        <f>+N74-K74</f>
        <v>0</v>
      </c>
      <c r="O36" s="256">
        <f>+O74-N74</f>
        <v>0</v>
      </c>
      <c r="P36" s="256">
        <f t="shared" si="58"/>
        <v>0</v>
      </c>
      <c r="Q36" s="256">
        <f t="shared" si="58"/>
        <v>0</v>
      </c>
      <c r="R36" s="256">
        <f t="shared" si="58"/>
        <v>0</v>
      </c>
      <c r="S36" s="256">
        <f>+S74-R74</f>
        <v>0</v>
      </c>
      <c r="T36" s="256">
        <f t="shared" si="59"/>
        <v>0</v>
      </c>
      <c r="U36" s="256">
        <f t="shared" si="59"/>
        <v>0</v>
      </c>
      <c r="V36" s="256">
        <f t="shared" si="59"/>
        <v>0</v>
      </c>
      <c r="W36" s="256">
        <f t="shared" si="60"/>
        <v>0</v>
      </c>
      <c r="X36" s="256">
        <f t="shared" si="59"/>
        <v>0</v>
      </c>
      <c r="AD36" s="55"/>
    </row>
    <row r="37" spans="1:30">
      <c r="W37" s="1"/>
      <c r="X37" s="1"/>
    </row>
    <row r="38" spans="1:30">
      <c r="W38" s="1"/>
      <c r="X38" s="1"/>
    </row>
    <row r="39" spans="1:30" ht="15.5">
      <c r="A39" s="83" t="s">
        <v>396</v>
      </c>
      <c r="W39" s="1"/>
      <c r="X39" s="1"/>
    </row>
    <row r="40" spans="1:30" ht="15.5">
      <c r="A40" s="83" t="s">
        <v>478</v>
      </c>
      <c r="W40" s="1"/>
      <c r="X40" s="1"/>
    </row>
    <row r="41" spans="1:30" s="190" customFormat="1" ht="24.5" thickBot="1">
      <c r="A41" s="171" t="s">
        <v>497</v>
      </c>
      <c r="B41" s="171" t="s">
        <v>172</v>
      </c>
      <c r="C41" s="188" t="s">
        <v>262</v>
      </c>
      <c r="D41" s="188" t="s">
        <v>267</v>
      </c>
      <c r="E41" s="188" t="s">
        <v>275</v>
      </c>
      <c r="F41" s="188" t="s">
        <v>282</v>
      </c>
      <c r="G41" s="188" t="s">
        <v>285</v>
      </c>
      <c r="H41" s="188" t="s">
        <v>368</v>
      </c>
      <c r="I41" s="188" t="s">
        <v>402</v>
      </c>
      <c r="J41" s="188" t="s">
        <v>407</v>
      </c>
      <c r="K41" s="188" t="s">
        <v>411</v>
      </c>
      <c r="L41" s="188" t="s">
        <v>420</v>
      </c>
      <c r="M41" s="188" t="s">
        <v>426</v>
      </c>
      <c r="N41" s="188" t="s">
        <v>430</v>
      </c>
      <c r="O41" s="254" t="s">
        <v>510</v>
      </c>
      <c r="P41" s="254" t="s">
        <v>591</v>
      </c>
      <c r="Q41" s="254" t="s">
        <v>597</v>
      </c>
      <c r="R41" s="254" t="s">
        <v>608</v>
      </c>
      <c r="S41" s="254" t="s">
        <v>612</v>
      </c>
      <c r="T41" s="254" t="s">
        <v>618</v>
      </c>
      <c r="U41" s="254" t="s">
        <v>630</v>
      </c>
      <c r="V41" s="254" t="s">
        <v>637</v>
      </c>
      <c r="W41" s="254" t="s">
        <v>643</v>
      </c>
      <c r="X41" s="254" t="s">
        <v>650</v>
      </c>
      <c r="Y41" s="191"/>
      <c r="Z41" s="191"/>
      <c r="AA41" s="191"/>
      <c r="AB41" s="191"/>
      <c r="AC41" s="191"/>
    </row>
    <row r="42" spans="1:30">
      <c r="A42" s="102" t="s">
        <v>25</v>
      </c>
      <c r="B42" s="103" t="s">
        <v>286</v>
      </c>
      <c r="C42" s="5">
        <v>594025</v>
      </c>
      <c r="D42" s="5">
        <v>1196582</v>
      </c>
      <c r="E42" s="5">
        <v>1818176</v>
      </c>
      <c r="F42" s="5">
        <v>2439330</v>
      </c>
      <c r="G42" s="5">
        <v>617997</v>
      </c>
      <c r="H42" s="5">
        <v>1258158</v>
      </c>
      <c r="I42" s="5">
        <v>1923680</v>
      </c>
      <c r="J42" s="5">
        <v>2622338</v>
      </c>
      <c r="K42" s="5">
        <v>710898</v>
      </c>
      <c r="L42" s="5">
        <v>1515632.3746135801</v>
      </c>
      <c r="M42" s="5">
        <v>2473412</v>
      </c>
      <c r="N42" s="5">
        <v>3437304</v>
      </c>
      <c r="O42" s="255">
        <f>927731+O84</f>
        <v>927731</v>
      </c>
      <c r="P42" s="255">
        <f>1737084+P84</f>
        <v>1737084</v>
      </c>
      <c r="Q42" s="255">
        <f>2430080+Q84</f>
        <v>2430080</v>
      </c>
      <c r="R42" s="255">
        <f>3092119+R84</f>
        <v>3092119</v>
      </c>
      <c r="S42" s="255">
        <f>652138+S84</f>
        <v>652138</v>
      </c>
      <c r="T42" s="255">
        <v>1339896</v>
      </c>
      <c r="U42" s="255">
        <v>2036306</v>
      </c>
      <c r="V42" s="255">
        <v>2842093</v>
      </c>
      <c r="W42" s="255">
        <v>1059315</v>
      </c>
      <c r="X42" s="255">
        <v>2551239</v>
      </c>
    </row>
    <row r="43" spans="1:30">
      <c r="A43" s="102" t="s">
        <v>287</v>
      </c>
      <c r="B43" s="102" t="s">
        <v>97</v>
      </c>
      <c r="C43" s="6">
        <v>-182862</v>
      </c>
      <c r="D43" s="6">
        <v>-355515</v>
      </c>
      <c r="E43" s="6">
        <v>-530486</v>
      </c>
      <c r="F43" s="6">
        <v>-702470</v>
      </c>
      <c r="G43" s="6">
        <v>-181304</v>
      </c>
      <c r="H43" s="6">
        <v>-365212</v>
      </c>
      <c r="I43" s="6">
        <v>-549618</v>
      </c>
      <c r="J43" s="6">
        <v>-744444</v>
      </c>
      <c r="K43" s="6">
        <v>-210567</v>
      </c>
      <c r="L43" s="6">
        <v>-430970</v>
      </c>
      <c r="M43" s="6">
        <v>-683560</v>
      </c>
      <c r="N43" s="6">
        <v>-937917</v>
      </c>
      <c r="O43" s="256">
        <v>-251964</v>
      </c>
      <c r="P43" s="256">
        <v>-433860</v>
      </c>
      <c r="Q43" s="256">
        <v>-502911</v>
      </c>
      <c r="R43" s="256">
        <v>-543519</v>
      </c>
      <c r="S43" s="256">
        <v>-32638</v>
      </c>
      <c r="T43" s="256">
        <v>-62730</v>
      </c>
      <c r="U43" s="256">
        <v>-90262</v>
      </c>
      <c r="V43" s="256">
        <v>-128950</v>
      </c>
      <c r="W43" s="256">
        <v>-98276</v>
      </c>
      <c r="X43" s="256">
        <v>-411318</v>
      </c>
    </row>
    <row r="44" spans="1:30">
      <c r="A44" s="104" t="s">
        <v>26</v>
      </c>
      <c r="B44" s="104" t="s">
        <v>98</v>
      </c>
      <c r="C44" s="7">
        <v>411163</v>
      </c>
      <c r="D44" s="7">
        <v>841067</v>
      </c>
      <c r="E44" s="7">
        <v>1287690</v>
      </c>
      <c r="F44" s="7">
        <v>1736860</v>
      </c>
      <c r="G44" s="7">
        <v>436693</v>
      </c>
      <c r="H44" s="7">
        <v>892946</v>
      </c>
      <c r="I44" s="7">
        <v>1374062</v>
      </c>
      <c r="J44" s="7">
        <v>1877894</v>
      </c>
      <c r="K44" s="7">
        <v>500331</v>
      </c>
      <c r="L44" s="7">
        <v>1084662.3746135801</v>
      </c>
      <c r="M44" s="7">
        <v>1789852</v>
      </c>
      <c r="N44" s="7">
        <v>2499387</v>
      </c>
      <c r="O44" s="257">
        <f t="shared" ref="O44:R44" si="61">SUM(O42:O43)</f>
        <v>675767</v>
      </c>
      <c r="P44" s="257">
        <f t="shared" si="61"/>
        <v>1303224</v>
      </c>
      <c r="Q44" s="257">
        <f t="shared" si="61"/>
        <v>1927169</v>
      </c>
      <c r="R44" s="257">
        <f t="shared" si="61"/>
        <v>2548600</v>
      </c>
      <c r="S44" s="257">
        <f t="shared" ref="S44:X44" si="62">SUM(S42:S43)</f>
        <v>619500</v>
      </c>
      <c r="T44" s="257">
        <f t="shared" si="62"/>
        <v>1277166</v>
      </c>
      <c r="U44" s="257">
        <f t="shared" si="62"/>
        <v>1946044</v>
      </c>
      <c r="V44" s="257">
        <f t="shared" si="62"/>
        <v>2713143</v>
      </c>
      <c r="W44" s="257">
        <f t="shared" si="62"/>
        <v>961039</v>
      </c>
      <c r="X44" s="257">
        <f t="shared" si="62"/>
        <v>2139921</v>
      </c>
    </row>
    <row r="45" spans="1:30">
      <c r="A45" s="102" t="s">
        <v>1</v>
      </c>
      <c r="B45" s="102" t="s">
        <v>99</v>
      </c>
      <c r="C45" s="6">
        <v>196098</v>
      </c>
      <c r="D45" s="6">
        <v>392262</v>
      </c>
      <c r="E45" s="6">
        <v>593326</v>
      </c>
      <c r="F45" s="6">
        <v>799288</v>
      </c>
      <c r="G45" s="6">
        <v>209202</v>
      </c>
      <c r="H45" s="6">
        <v>414561</v>
      </c>
      <c r="I45" s="6">
        <v>619908</v>
      </c>
      <c r="J45" s="6">
        <v>824245</v>
      </c>
      <c r="K45" s="6">
        <v>201530</v>
      </c>
      <c r="L45" s="6">
        <v>422827</v>
      </c>
      <c r="M45" s="6">
        <v>661098</v>
      </c>
      <c r="N45" s="6">
        <v>899887</v>
      </c>
      <c r="O45" s="256">
        <v>247669</v>
      </c>
      <c r="P45" s="256">
        <v>471703</v>
      </c>
      <c r="Q45" s="256">
        <v>706868</v>
      </c>
      <c r="R45" s="256">
        <v>947414</v>
      </c>
      <c r="S45" s="256">
        <v>245994</v>
      </c>
      <c r="T45" s="256">
        <v>499849</v>
      </c>
      <c r="U45" s="256">
        <v>751746</v>
      </c>
      <c r="V45" s="256">
        <v>1012250</v>
      </c>
      <c r="W45" s="256">
        <v>267907</v>
      </c>
      <c r="X45" s="256">
        <v>528405</v>
      </c>
    </row>
    <row r="46" spans="1:30">
      <c r="A46" s="102" t="s">
        <v>288</v>
      </c>
      <c r="B46" s="102" t="s">
        <v>100</v>
      </c>
      <c r="C46" s="6">
        <v>-29981</v>
      </c>
      <c r="D46" s="6">
        <v>-63627</v>
      </c>
      <c r="E46" s="6">
        <v>-99153</v>
      </c>
      <c r="F46" s="6">
        <v>-135735</v>
      </c>
      <c r="G46" s="6">
        <v>-36698</v>
      </c>
      <c r="H46" s="6">
        <v>-77974</v>
      </c>
      <c r="I46" s="6">
        <v>-120408</v>
      </c>
      <c r="J46" s="6">
        <v>-163176</v>
      </c>
      <c r="K46" s="6">
        <v>-38356</v>
      </c>
      <c r="L46" s="6">
        <v>-84628</v>
      </c>
      <c r="M46" s="6">
        <v>-144592</v>
      </c>
      <c r="N46" s="6">
        <v>-200734</v>
      </c>
      <c r="O46" s="256">
        <v>-53136</v>
      </c>
      <c r="P46" s="256">
        <v>-98175</v>
      </c>
      <c r="Q46" s="256">
        <v>-153542</v>
      </c>
      <c r="R46" s="256">
        <v>-201358</v>
      </c>
      <c r="S46" s="256">
        <v>-41217</v>
      </c>
      <c r="T46" s="256">
        <v>-85762</v>
      </c>
      <c r="U46" s="256">
        <v>-136094</v>
      </c>
      <c r="V46" s="256">
        <v>-181638</v>
      </c>
      <c r="W46" s="256">
        <v>-47091</v>
      </c>
      <c r="X46" s="256">
        <v>-101467</v>
      </c>
    </row>
    <row r="47" spans="1:30">
      <c r="A47" s="104" t="s">
        <v>3</v>
      </c>
      <c r="B47" s="104" t="s">
        <v>101</v>
      </c>
      <c r="C47" s="7">
        <v>166117</v>
      </c>
      <c r="D47" s="7">
        <v>328635</v>
      </c>
      <c r="E47" s="7">
        <v>494173</v>
      </c>
      <c r="F47" s="7">
        <v>663553</v>
      </c>
      <c r="G47" s="7">
        <v>172504</v>
      </c>
      <c r="H47" s="7">
        <v>336587</v>
      </c>
      <c r="I47" s="7">
        <v>499500</v>
      </c>
      <c r="J47" s="7">
        <v>661069</v>
      </c>
      <c r="K47" s="7">
        <v>163174</v>
      </c>
      <c r="L47" s="7">
        <v>338199</v>
      </c>
      <c r="M47" s="7">
        <v>516506</v>
      </c>
      <c r="N47" s="7">
        <v>699153</v>
      </c>
      <c r="O47" s="257">
        <f t="shared" ref="O47:X47" si="63">SUM(O45:O46)</f>
        <v>194533</v>
      </c>
      <c r="P47" s="257">
        <f t="shared" si="63"/>
        <v>373528</v>
      </c>
      <c r="Q47" s="257">
        <f t="shared" si="63"/>
        <v>553326</v>
      </c>
      <c r="R47" s="257">
        <f t="shared" si="63"/>
        <v>746056</v>
      </c>
      <c r="S47" s="257">
        <f t="shared" si="63"/>
        <v>204777</v>
      </c>
      <c r="T47" s="257">
        <f t="shared" si="63"/>
        <v>414087</v>
      </c>
      <c r="U47" s="257">
        <f t="shared" si="63"/>
        <v>615652</v>
      </c>
      <c r="V47" s="257">
        <f t="shared" si="63"/>
        <v>830612</v>
      </c>
      <c r="W47" s="257">
        <f t="shared" si="63"/>
        <v>220816</v>
      </c>
      <c r="X47" s="257">
        <f t="shared" si="63"/>
        <v>426938</v>
      </c>
    </row>
    <row r="48" spans="1:30">
      <c r="A48" s="102" t="s">
        <v>4</v>
      </c>
      <c r="B48" s="102" t="s">
        <v>102</v>
      </c>
      <c r="C48" s="6">
        <v>285</v>
      </c>
      <c r="D48" s="6">
        <v>2326</v>
      </c>
      <c r="E48" s="6">
        <v>2465</v>
      </c>
      <c r="F48" s="6">
        <v>2612</v>
      </c>
      <c r="G48" s="6">
        <v>149</v>
      </c>
      <c r="H48" s="6">
        <v>2224</v>
      </c>
      <c r="I48" s="6">
        <v>2405</v>
      </c>
      <c r="J48" s="6">
        <v>2601</v>
      </c>
      <c r="K48" s="6">
        <v>198</v>
      </c>
      <c r="L48" s="6">
        <v>2682</v>
      </c>
      <c r="M48" s="6">
        <v>2939</v>
      </c>
      <c r="N48" s="6">
        <v>3214</v>
      </c>
      <c r="O48" s="256">
        <v>243</v>
      </c>
      <c r="P48" s="256">
        <v>3268</v>
      </c>
      <c r="Q48" s="256">
        <v>3542</v>
      </c>
      <c r="R48" s="256">
        <v>3678</v>
      </c>
      <c r="S48" s="256">
        <v>136</v>
      </c>
      <c r="T48" s="256">
        <v>2703</v>
      </c>
      <c r="U48" s="256">
        <v>3438</v>
      </c>
      <c r="V48" s="256">
        <v>3761</v>
      </c>
      <c r="W48" s="256">
        <v>299</v>
      </c>
      <c r="X48" s="256">
        <v>3060</v>
      </c>
    </row>
    <row r="49" spans="1:24" ht="45.75" customHeight="1">
      <c r="A49" s="102" t="s">
        <v>289</v>
      </c>
      <c r="B49" s="102" t="s">
        <v>290</v>
      </c>
      <c r="C49" s="6">
        <v>332</v>
      </c>
      <c r="D49" s="6">
        <v>4181</v>
      </c>
      <c r="E49" s="6">
        <v>9219</v>
      </c>
      <c r="F49" s="6">
        <v>25288</v>
      </c>
      <c r="G49" s="6">
        <v>3160</v>
      </c>
      <c r="H49" s="6">
        <v>8599</v>
      </c>
      <c r="I49" s="6">
        <v>15677</v>
      </c>
      <c r="J49" s="6">
        <v>18897</v>
      </c>
      <c r="K49" s="6">
        <v>14921</v>
      </c>
      <c r="L49" s="6">
        <v>29304</v>
      </c>
      <c r="M49" s="6">
        <v>34309</v>
      </c>
      <c r="N49" s="6">
        <v>38027</v>
      </c>
      <c r="O49" s="256">
        <v>13747</v>
      </c>
      <c r="P49" s="256">
        <v>48920</v>
      </c>
      <c r="Q49" s="256">
        <v>78023</v>
      </c>
      <c r="R49" s="256">
        <v>128082</v>
      </c>
      <c r="S49" s="256">
        <v>863</v>
      </c>
      <c r="T49" s="256">
        <v>9265</v>
      </c>
      <c r="U49" s="256">
        <v>10238</v>
      </c>
      <c r="V49" s="256">
        <v>9669</v>
      </c>
      <c r="W49" s="256">
        <v>-719</v>
      </c>
      <c r="X49" s="256">
        <v>-1493</v>
      </c>
    </row>
    <row r="50" spans="1:24" ht="30.75" customHeight="1">
      <c r="A50" s="102" t="s">
        <v>624</v>
      </c>
      <c r="B50" s="102" t="s">
        <v>292</v>
      </c>
      <c r="C50" s="6">
        <v>-1020</v>
      </c>
      <c r="D50" s="6">
        <v>743</v>
      </c>
      <c r="E50" s="6">
        <v>908</v>
      </c>
      <c r="F50" s="6">
        <v>2188</v>
      </c>
      <c r="G50" s="6">
        <v>8775</v>
      </c>
      <c r="H50" s="6">
        <v>12658</v>
      </c>
      <c r="I50" s="6">
        <v>15853</v>
      </c>
      <c r="J50" s="6">
        <v>21356</v>
      </c>
      <c r="K50" s="6">
        <v>1736</v>
      </c>
      <c r="L50" s="6">
        <v>3489</v>
      </c>
      <c r="M50" s="6">
        <v>4981</v>
      </c>
      <c r="N50" s="6">
        <v>5719</v>
      </c>
      <c r="O50" s="256">
        <f>9734-O84</f>
        <v>9734</v>
      </c>
      <c r="P50" s="256">
        <f>32139-P84</f>
        <v>32139</v>
      </c>
      <c r="Q50" s="256">
        <f>40055-Q84</f>
        <v>40055</v>
      </c>
      <c r="R50" s="256">
        <f>47896-R84</f>
        <v>47896</v>
      </c>
      <c r="S50" s="256">
        <f>-1014-S84</f>
        <v>-1014</v>
      </c>
      <c r="T50" s="256">
        <v>-6033</v>
      </c>
      <c r="U50" s="256">
        <v>-7145</v>
      </c>
      <c r="V50" s="256">
        <v>-9296</v>
      </c>
      <c r="W50" s="256">
        <v>-2735</v>
      </c>
      <c r="X50" s="256">
        <v>-5167</v>
      </c>
    </row>
    <row r="51" spans="1:24" ht="45" customHeight="1">
      <c r="A51" s="102" t="s">
        <v>397</v>
      </c>
      <c r="B51" s="102" t="s">
        <v>398</v>
      </c>
      <c r="C51" s="6">
        <v>0</v>
      </c>
      <c r="D51" s="6">
        <v>0</v>
      </c>
      <c r="E51" s="6">
        <v>0</v>
      </c>
      <c r="F51" s="6">
        <v>0</v>
      </c>
      <c r="G51" s="6">
        <f>-2283-G65</f>
        <v>853</v>
      </c>
      <c r="H51" s="6">
        <f>-828-H65</f>
        <v>7374</v>
      </c>
      <c r="I51" s="6">
        <f>-1784-I65</f>
        <v>11534</v>
      </c>
      <c r="J51" s="6">
        <f>-6375-J65</f>
        <v>13555</v>
      </c>
      <c r="K51" s="6">
        <f>4053-K65</f>
        <v>8982</v>
      </c>
      <c r="L51" s="6">
        <f>10532-L65</f>
        <v>15633</v>
      </c>
      <c r="M51" s="6">
        <f>52527-M65</f>
        <v>65428</v>
      </c>
      <c r="N51" s="6">
        <f>65703-N65</f>
        <v>89104</v>
      </c>
      <c r="O51" s="256">
        <f>-11679-O65</f>
        <v>0</v>
      </c>
      <c r="P51" s="256">
        <f>-18930-P65</f>
        <v>7487</v>
      </c>
      <c r="Q51" s="256">
        <f>-13153-Q65</f>
        <v>19018.687140000002</v>
      </c>
      <c r="R51" s="256">
        <f>38576-R65</f>
        <v>81496.348800000007</v>
      </c>
      <c r="S51" s="256">
        <f>8116-S65</f>
        <v>4037</v>
      </c>
      <c r="T51" s="256">
        <f>10460-T65</f>
        <v>16451</v>
      </c>
      <c r="U51" s="256">
        <f>53808-U65</f>
        <v>14603</v>
      </c>
      <c r="V51" s="256">
        <f>124538-V65</f>
        <v>84657</v>
      </c>
      <c r="W51" s="256">
        <f>10826-W65</f>
        <v>8745</v>
      </c>
      <c r="X51" s="256">
        <f>2341-X65</f>
        <v>-3229</v>
      </c>
    </row>
    <row r="52" spans="1:24" ht="15.75" customHeight="1">
      <c r="A52" s="102" t="s">
        <v>293</v>
      </c>
      <c r="B52" s="102" t="s">
        <v>294</v>
      </c>
      <c r="C52" s="6">
        <v>-4072</v>
      </c>
      <c r="D52" s="6">
        <v>-8589</v>
      </c>
      <c r="E52" s="6">
        <v>-12707</v>
      </c>
      <c r="F52" s="6">
        <v>-20377</v>
      </c>
      <c r="G52" s="6">
        <v>-5429</v>
      </c>
      <c r="H52" s="6">
        <v>-9958</v>
      </c>
      <c r="I52" s="6">
        <v>-14907</v>
      </c>
      <c r="J52" s="6">
        <v>-20037</v>
      </c>
      <c r="K52" s="6">
        <v>-4821</v>
      </c>
      <c r="L52" s="6">
        <v>-9951</v>
      </c>
      <c r="M52" s="6">
        <v>-15638</v>
      </c>
      <c r="N52" s="6">
        <v>-19821</v>
      </c>
      <c r="O52" s="256">
        <v>-4514</v>
      </c>
      <c r="P52" s="256">
        <v>-8032</v>
      </c>
      <c r="Q52" s="256">
        <v>-10740</v>
      </c>
      <c r="R52" s="256">
        <v>-10259</v>
      </c>
      <c r="S52" s="256">
        <v>890</v>
      </c>
      <c r="T52" s="256">
        <v>-274</v>
      </c>
      <c r="U52" s="256">
        <v>-1754</v>
      </c>
      <c r="V52" s="256">
        <v>-3185</v>
      </c>
      <c r="W52" s="256">
        <v>-2670</v>
      </c>
      <c r="X52" s="256">
        <v>-3347</v>
      </c>
    </row>
    <row r="53" spans="1:24">
      <c r="A53" s="102" t="s">
        <v>295</v>
      </c>
      <c r="B53" s="102" t="s">
        <v>104</v>
      </c>
      <c r="C53" s="6">
        <v>40068</v>
      </c>
      <c r="D53" s="6">
        <v>81486</v>
      </c>
      <c r="E53" s="6">
        <v>124893</v>
      </c>
      <c r="F53" s="6">
        <v>169518</v>
      </c>
      <c r="G53" s="6">
        <v>36975</v>
      </c>
      <c r="H53" s="6">
        <v>74043</v>
      </c>
      <c r="I53" s="6">
        <v>110486</v>
      </c>
      <c r="J53" s="6">
        <v>151620</v>
      </c>
      <c r="K53" s="6">
        <v>32903</v>
      </c>
      <c r="L53" s="6">
        <v>78677</v>
      </c>
      <c r="M53" s="6">
        <v>124140</v>
      </c>
      <c r="N53" s="6">
        <v>163147</v>
      </c>
      <c r="O53" s="256">
        <v>43684</v>
      </c>
      <c r="P53" s="256">
        <v>71633</v>
      </c>
      <c r="Q53" s="256">
        <v>106236</v>
      </c>
      <c r="R53" s="256">
        <v>120521</v>
      </c>
      <c r="S53" s="256">
        <v>23155</v>
      </c>
      <c r="T53" s="256">
        <v>12312</v>
      </c>
      <c r="U53" s="256">
        <v>-76861</v>
      </c>
      <c r="V53" s="256">
        <v>-148999</v>
      </c>
      <c r="W53" s="256">
        <v>-63141</v>
      </c>
      <c r="X53" s="256">
        <v>-123015</v>
      </c>
    </row>
    <row r="54" spans="1:24">
      <c r="A54" s="102" t="s">
        <v>6</v>
      </c>
      <c r="B54" s="102" t="s">
        <v>296</v>
      </c>
      <c r="C54" s="6">
        <v>25458</v>
      </c>
      <c r="D54" s="6">
        <v>36438</v>
      </c>
      <c r="E54" s="6">
        <v>57362</v>
      </c>
      <c r="F54" s="6">
        <v>69909</v>
      </c>
      <c r="G54" s="6">
        <v>13733</v>
      </c>
      <c r="H54" s="6">
        <v>24891</v>
      </c>
      <c r="I54" s="6">
        <v>34633</v>
      </c>
      <c r="J54" s="6">
        <v>50710</v>
      </c>
      <c r="K54" s="6">
        <v>39518</v>
      </c>
      <c r="L54" s="6">
        <v>51665</v>
      </c>
      <c r="M54" s="6">
        <v>80131</v>
      </c>
      <c r="N54" s="6">
        <v>97582</v>
      </c>
      <c r="O54" s="256">
        <v>12593</v>
      </c>
      <c r="P54" s="256">
        <v>64677</v>
      </c>
      <c r="Q54" s="256">
        <v>88575</v>
      </c>
      <c r="R54" s="256">
        <v>160766</v>
      </c>
      <c r="S54" s="256">
        <v>43636</v>
      </c>
      <c r="T54" s="256">
        <v>116440</v>
      </c>
      <c r="U54" s="256">
        <v>210689</v>
      </c>
      <c r="V54" s="256">
        <v>317295</v>
      </c>
      <c r="W54" s="256">
        <v>73597</v>
      </c>
      <c r="X54" s="256">
        <v>140978</v>
      </c>
    </row>
    <row r="55" spans="1:24">
      <c r="A55" s="102" t="s">
        <v>11</v>
      </c>
      <c r="B55" s="102" t="s">
        <v>297</v>
      </c>
      <c r="C55" s="6">
        <v>-15466</v>
      </c>
      <c r="D55" s="6">
        <v>-28508</v>
      </c>
      <c r="E55" s="6">
        <v>-48600</v>
      </c>
      <c r="F55" s="6">
        <v>-77950</v>
      </c>
      <c r="G55" s="6">
        <v>-10986</v>
      </c>
      <c r="H55" s="6">
        <v>-24058</v>
      </c>
      <c r="I55" s="6">
        <v>-34346</v>
      </c>
      <c r="J55" s="6">
        <v>-50028</v>
      </c>
      <c r="K55" s="6">
        <v>-16106</v>
      </c>
      <c r="L55" s="6">
        <v>-30919</v>
      </c>
      <c r="M55" s="6">
        <v>-85269</v>
      </c>
      <c r="N55" s="6">
        <v>-103989</v>
      </c>
      <c r="O55" s="256">
        <v>-25060</v>
      </c>
      <c r="P55" s="256">
        <v>-115802</v>
      </c>
      <c r="Q55" s="256">
        <v>-136914</v>
      </c>
      <c r="R55" s="256">
        <v>-249060</v>
      </c>
      <c r="S55" s="256">
        <v>-29020</v>
      </c>
      <c r="T55" s="256">
        <v>-52672</v>
      </c>
      <c r="U55" s="256">
        <v>-79869</v>
      </c>
      <c r="V55" s="256">
        <v>-239510</v>
      </c>
      <c r="W55" s="256">
        <v>-35328</v>
      </c>
      <c r="X55" s="256">
        <v>-77907</v>
      </c>
    </row>
    <row r="56" spans="1:24">
      <c r="A56" s="104" t="s">
        <v>350</v>
      </c>
      <c r="B56" s="104" t="s">
        <v>349</v>
      </c>
      <c r="C56" s="7">
        <f t="shared" ref="C56:J56" si="64">SUM(C47:C55,C44)</f>
        <v>622865</v>
      </c>
      <c r="D56" s="7">
        <f t="shared" si="64"/>
        <v>1257779</v>
      </c>
      <c r="E56" s="7">
        <f t="shared" si="64"/>
        <v>1915403</v>
      </c>
      <c r="F56" s="7">
        <f t="shared" si="64"/>
        <v>2571601</v>
      </c>
      <c r="G56" s="7">
        <f t="shared" si="64"/>
        <v>656427</v>
      </c>
      <c r="H56" s="7">
        <f t="shared" si="64"/>
        <v>1325306</v>
      </c>
      <c r="I56" s="7">
        <f t="shared" si="64"/>
        <v>2014897</v>
      </c>
      <c r="J56" s="7">
        <f t="shared" si="64"/>
        <v>2727637</v>
      </c>
      <c r="K56" s="7">
        <f t="shared" ref="K56:X56" si="65">SUM(K47:K55,K44)</f>
        <v>740836</v>
      </c>
      <c r="L56" s="7">
        <f t="shared" si="65"/>
        <v>1563441.3746135801</v>
      </c>
      <c r="M56" s="7">
        <f t="shared" si="65"/>
        <v>2517379</v>
      </c>
      <c r="N56" s="7">
        <f t="shared" si="65"/>
        <v>3471523</v>
      </c>
      <c r="O56" s="257">
        <f t="shared" si="65"/>
        <v>920727</v>
      </c>
      <c r="P56" s="257">
        <f t="shared" si="65"/>
        <v>1781042</v>
      </c>
      <c r="Q56" s="257">
        <f t="shared" si="65"/>
        <v>2668290.6871400001</v>
      </c>
      <c r="R56" s="257">
        <f t="shared" si="65"/>
        <v>3577776.3487999998</v>
      </c>
      <c r="S56" s="257">
        <f t="shared" si="65"/>
        <v>866960</v>
      </c>
      <c r="T56" s="257">
        <f t="shared" si="65"/>
        <v>1789445</v>
      </c>
      <c r="U56" s="257">
        <f t="shared" si="65"/>
        <v>2635035</v>
      </c>
      <c r="V56" s="257">
        <f t="shared" si="65"/>
        <v>3558147</v>
      </c>
      <c r="W56" s="257">
        <f t="shared" si="65"/>
        <v>1159903</v>
      </c>
      <c r="X56" s="257">
        <f t="shared" si="65"/>
        <v>2496739</v>
      </c>
    </row>
    <row r="57" spans="1:24">
      <c r="A57" s="102" t="s">
        <v>298</v>
      </c>
      <c r="B57" s="102" t="s">
        <v>299</v>
      </c>
      <c r="C57" s="6">
        <v>-301331</v>
      </c>
      <c r="D57" s="6">
        <v>-580809</v>
      </c>
      <c r="E57" s="6">
        <v>-858329</v>
      </c>
      <c r="F57" s="6">
        <v>-1149723</v>
      </c>
      <c r="G57" s="6">
        <v>-316822</v>
      </c>
      <c r="H57" s="6">
        <v>-605603</v>
      </c>
      <c r="I57" s="6">
        <v>-908373</v>
      </c>
      <c r="J57" s="6">
        <v>-1213765</v>
      </c>
      <c r="K57" s="6">
        <v>-351056</v>
      </c>
      <c r="L57" s="6">
        <v>-682988</v>
      </c>
      <c r="M57" s="6">
        <v>-1109436</v>
      </c>
      <c r="N57" s="6">
        <v>-1545183</v>
      </c>
      <c r="O57" s="256">
        <v>-464566</v>
      </c>
      <c r="P57" s="256">
        <v>-815812</v>
      </c>
      <c r="Q57" s="256">
        <v>-1176160</v>
      </c>
      <c r="R57" s="256">
        <v>-1542379</v>
      </c>
      <c r="S57" s="256">
        <v>-375885</v>
      </c>
      <c r="T57" s="256">
        <v>-705189</v>
      </c>
      <c r="U57" s="256">
        <v>-1057305</v>
      </c>
      <c r="V57" s="256">
        <v>-1440706</v>
      </c>
      <c r="W57" s="256">
        <v>-434626</v>
      </c>
      <c r="X57" s="256">
        <v>-1058829</v>
      </c>
    </row>
    <row r="58" spans="1:24">
      <c r="A58" s="102" t="s">
        <v>300</v>
      </c>
      <c r="B58" s="102" t="s">
        <v>301</v>
      </c>
      <c r="C58" s="8">
        <v>-13119</v>
      </c>
      <c r="D58" s="8">
        <v>-26859</v>
      </c>
      <c r="E58" s="8">
        <v>-39854</v>
      </c>
      <c r="F58" s="8">
        <v>-52971</v>
      </c>
      <c r="G58" s="8">
        <v>-13409</v>
      </c>
      <c r="H58" s="8">
        <v>-26615</v>
      </c>
      <c r="I58" s="8">
        <v>-39869</v>
      </c>
      <c r="J58" s="8">
        <v>-54227</v>
      </c>
      <c r="K58" s="8">
        <v>-33412</v>
      </c>
      <c r="L58" s="8">
        <v>-73039</v>
      </c>
      <c r="M58" s="8">
        <v>-126661</v>
      </c>
      <c r="N58" s="8">
        <v>-180872</v>
      </c>
      <c r="O58" s="258">
        <v>-53340</v>
      </c>
      <c r="P58" s="258">
        <v>-107213</v>
      </c>
      <c r="Q58" s="258">
        <v>-158956</v>
      </c>
      <c r="R58" s="258">
        <v>-210411</v>
      </c>
      <c r="S58" s="258">
        <v>-51448</v>
      </c>
      <c r="T58" s="258">
        <v>-100675</v>
      </c>
      <c r="U58" s="258">
        <v>-150870</v>
      </c>
      <c r="V58" s="258">
        <v>-201595</v>
      </c>
      <c r="W58" s="258">
        <v>-51602</v>
      </c>
      <c r="X58" s="258">
        <v>-104227</v>
      </c>
    </row>
    <row r="59" spans="1:24">
      <c r="A59" s="104" t="s">
        <v>351</v>
      </c>
      <c r="B59" s="104" t="s">
        <v>352</v>
      </c>
      <c r="C59" s="7">
        <f t="shared" ref="C59:J59" si="66">SUM(C57:C58)</f>
        <v>-314450</v>
      </c>
      <c r="D59" s="7">
        <f t="shared" si="66"/>
        <v>-607668</v>
      </c>
      <c r="E59" s="7">
        <f t="shared" si="66"/>
        <v>-898183</v>
      </c>
      <c r="F59" s="7">
        <f t="shared" si="66"/>
        <v>-1202694</v>
      </c>
      <c r="G59" s="7">
        <f t="shared" si="66"/>
        <v>-330231</v>
      </c>
      <c r="H59" s="7">
        <f t="shared" si="66"/>
        <v>-632218</v>
      </c>
      <c r="I59" s="7">
        <f t="shared" si="66"/>
        <v>-948242</v>
      </c>
      <c r="J59" s="7">
        <f t="shared" si="66"/>
        <v>-1267992</v>
      </c>
      <c r="K59" s="7">
        <f t="shared" ref="K59:X59" si="67">SUM(K57:K58)</f>
        <v>-384468</v>
      </c>
      <c r="L59" s="7">
        <f t="shared" si="67"/>
        <v>-756027</v>
      </c>
      <c r="M59" s="7">
        <f t="shared" si="67"/>
        <v>-1236097</v>
      </c>
      <c r="N59" s="7">
        <f t="shared" si="67"/>
        <v>-1726055</v>
      </c>
      <c r="O59" s="257">
        <f t="shared" si="67"/>
        <v>-517906</v>
      </c>
      <c r="P59" s="257">
        <f t="shared" si="67"/>
        <v>-923025</v>
      </c>
      <c r="Q59" s="257">
        <f t="shared" si="67"/>
        <v>-1335116</v>
      </c>
      <c r="R59" s="257">
        <f t="shared" si="67"/>
        <v>-1752790</v>
      </c>
      <c r="S59" s="257">
        <f t="shared" si="67"/>
        <v>-427333</v>
      </c>
      <c r="T59" s="257">
        <f t="shared" si="67"/>
        <v>-805864</v>
      </c>
      <c r="U59" s="257">
        <f t="shared" si="67"/>
        <v>-1208175</v>
      </c>
      <c r="V59" s="257">
        <f t="shared" si="67"/>
        <v>-1642301</v>
      </c>
      <c r="W59" s="257">
        <f t="shared" si="67"/>
        <v>-486228</v>
      </c>
      <c r="X59" s="257">
        <f t="shared" si="67"/>
        <v>-1163056</v>
      </c>
    </row>
    <row r="60" spans="1:24">
      <c r="A60" s="102" t="s">
        <v>8</v>
      </c>
      <c r="B60" s="102" t="s">
        <v>111</v>
      </c>
      <c r="C60" s="6">
        <v>-59501</v>
      </c>
      <c r="D60" s="6">
        <v>-122280</v>
      </c>
      <c r="E60" s="6">
        <v>-191456</v>
      </c>
      <c r="F60" s="6">
        <v>-254159</v>
      </c>
      <c r="G60" s="6">
        <v>-47651</v>
      </c>
      <c r="H60" s="6">
        <v>-97789</v>
      </c>
      <c r="I60" s="6">
        <v>-149835</v>
      </c>
      <c r="J60" s="6">
        <v>-201967</v>
      </c>
      <c r="K60" s="6">
        <v>-63094</v>
      </c>
      <c r="L60" s="6">
        <v>-217180</v>
      </c>
      <c r="M60" s="6">
        <v>-342178</v>
      </c>
      <c r="N60" s="6">
        <v>-402743</v>
      </c>
      <c r="O60" s="256">
        <v>-121565</v>
      </c>
      <c r="P60" s="256">
        <v>-323634</v>
      </c>
      <c r="Q60" s="256">
        <v>-465739</v>
      </c>
      <c r="R60" s="256">
        <v>-556912</v>
      </c>
      <c r="S60" s="256">
        <v>-74370</v>
      </c>
      <c r="T60" s="256">
        <v>-115849</v>
      </c>
      <c r="U60" s="256">
        <v>-241368</v>
      </c>
      <c r="V60" s="256">
        <v>-318391</v>
      </c>
      <c r="W60" s="256">
        <v>-78762</v>
      </c>
      <c r="X60" s="256">
        <v>-147575</v>
      </c>
    </row>
    <row r="61" spans="1:24" s="69" customFormat="1">
      <c r="A61" s="116" t="s">
        <v>513</v>
      </c>
      <c r="B61" s="116" t="s">
        <v>512</v>
      </c>
      <c r="C61" s="6"/>
      <c r="D61" s="6"/>
      <c r="E61" s="6"/>
      <c r="F61" s="6"/>
      <c r="G61" s="6"/>
      <c r="H61" s="6"/>
      <c r="I61" s="6"/>
      <c r="J61" s="6"/>
      <c r="K61" s="6">
        <v>0</v>
      </c>
      <c r="L61" s="6">
        <v>0</v>
      </c>
      <c r="M61" s="6">
        <v>0</v>
      </c>
      <c r="N61" s="6">
        <v>0</v>
      </c>
      <c r="O61" s="256">
        <v>-60000</v>
      </c>
      <c r="P61" s="256">
        <v>0</v>
      </c>
      <c r="Q61" s="256">
        <v>0</v>
      </c>
      <c r="R61" s="256">
        <v>0</v>
      </c>
      <c r="S61" s="256">
        <v>0</v>
      </c>
      <c r="T61" s="256">
        <v>0</v>
      </c>
      <c r="U61" s="256">
        <v>0</v>
      </c>
      <c r="V61" s="256">
        <v>0</v>
      </c>
      <c r="W61" s="256">
        <v>0</v>
      </c>
      <c r="X61" s="256">
        <v>0</v>
      </c>
    </row>
    <row r="62" spans="1:24">
      <c r="A62" s="102" t="s">
        <v>9</v>
      </c>
      <c r="B62" s="102" t="s">
        <v>112</v>
      </c>
      <c r="C62" s="6">
        <v>-230</v>
      </c>
      <c r="D62" s="6">
        <v>-421</v>
      </c>
      <c r="E62" s="6">
        <v>-943</v>
      </c>
      <c r="F62" s="6">
        <v>-1199</v>
      </c>
      <c r="G62" s="6">
        <v>-38</v>
      </c>
      <c r="H62" s="6">
        <v>-26</v>
      </c>
      <c r="I62" s="6">
        <v>-820</v>
      </c>
      <c r="J62" s="6">
        <v>-509</v>
      </c>
      <c r="K62" s="6">
        <v>-647</v>
      </c>
      <c r="L62" s="6">
        <v>-1300</v>
      </c>
      <c r="M62" s="6">
        <v>-2305</v>
      </c>
      <c r="N62" s="6">
        <v>-1193</v>
      </c>
      <c r="O62" s="256">
        <v>-1764</v>
      </c>
      <c r="P62" s="256">
        <v>-4591</v>
      </c>
      <c r="Q62" s="256">
        <v>-5178</v>
      </c>
      <c r="R62" s="256">
        <v>-7890</v>
      </c>
      <c r="S62" s="256">
        <v>-2377</v>
      </c>
      <c r="T62" s="256">
        <v>-4939</v>
      </c>
      <c r="U62" s="256">
        <v>-5387</v>
      </c>
      <c r="V62" s="256">
        <v>-7672</v>
      </c>
      <c r="W62" s="256">
        <v>-2622</v>
      </c>
      <c r="X62" s="256">
        <v>-2969</v>
      </c>
    </row>
    <row r="63" spans="1:24" s="69" customFormat="1" ht="30.75" customHeight="1">
      <c r="A63" s="102" t="s">
        <v>433</v>
      </c>
      <c r="B63" s="102" t="s">
        <v>432</v>
      </c>
      <c r="C63" s="6"/>
      <c r="D63" s="6"/>
      <c r="E63" s="6"/>
      <c r="F63" s="6"/>
      <c r="G63" s="6"/>
      <c r="H63" s="6"/>
      <c r="I63" s="6"/>
      <c r="J63" s="6"/>
      <c r="K63" s="6">
        <v>0</v>
      </c>
      <c r="L63" s="6">
        <v>0</v>
      </c>
      <c r="M63" s="6">
        <v>0</v>
      </c>
      <c r="N63" s="6">
        <v>-223134</v>
      </c>
      <c r="O63" s="256">
        <v>-55325</v>
      </c>
      <c r="P63" s="256">
        <v>-168019</v>
      </c>
      <c r="Q63" s="256">
        <v>-297673</v>
      </c>
      <c r="R63" s="256">
        <v>-713617</v>
      </c>
      <c r="S63" s="256">
        <v>-533403</v>
      </c>
      <c r="T63" s="256">
        <v>-1047044</v>
      </c>
      <c r="U63" s="256">
        <v>-1573157</v>
      </c>
      <c r="V63" s="256">
        <v>-2305157</v>
      </c>
      <c r="W63" s="256">
        <v>-499180</v>
      </c>
      <c r="X63" s="256">
        <v>-1014630</v>
      </c>
    </row>
    <row r="64" spans="1:24">
      <c r="A64" s="102" t="s">
        <v>302</v>
      </c>
      <c r="B64" s="102" t="s">
        <v>303</v>
      </c>
      <c r="C64" s="6">
        <v>0</v>
      </c>
      <c r="D64" s="6">
        <v>0</v>
      </c>
      <c r="E64" s="6">
        <v>0</v>
      </c>
      <c r="F64" s="6">
        <v>0</v>
      </c>
      <c r="G64" s="6">
        <v>-4299</v>
      </c>
      <c r="H64" s="6">
        <v>-7363</v>
      </c>
      <c r="I64" s="6">
        <v>-10187</v>
      </c>
      <c r="J64" s="6">
        <v>-14157</v>
      </c>
      <c r="K64" s="6">
        <v>-3666</v>
      </c>
      <c r="L64" s="6">
        <v>-6635</v>
      </c>
      <c r="M64" s="6">
        <v>-9187</v>
      </c>
      <c r="N64" s="6">
        <v>-11663</v>
      </c>
      <c r="O64" s="256">
        <v>-1949</v>
      </c>
      <c r="P64" s="256">
        <v>-8232</v>
      </c>
      <c r="Q64" s="256">
        <v>-10090</v>
      </c>
      <c r="R64" s="256">
        <v>-13565</v>
      </c>
      <c r="S64" s="256">
        <v>-3545</v>
      </c>
      <c r="T64" s="256">
        <v>-6731</v>
      </c>
      <c r="U64" s="256">
        <v>-9436</v>
      </c>
      <c r="V64" s="256">
        <v>-12839</v>
      </c>
      <c r="W64" s="256">
        <v>-3777</v>
      </c>
      <c r="X64" s="256">
        <v>-8804</v>
      </c>
    </row>
    <row r="65" spans="1:29" ht="24">
      <c r="A65" s="102" t="s">
        <v>399</v>
      </c>
      <c r="B65" s="102" t="s">
        <v>400</v>
      </c>
      <c r="C65" s="6">
        <v>0</v>
      </c>
      <c r="D65" s="6">
        <v>0</v>
      </c>
      <c r="E65" s="6">
        <v>0</v>
      </c>
      <c r="F65" s="6">
        <v>0</v>
      </c>
      <c r="G65" s="6">
        <v>-3136</v>
      </c>
      <c r="H65" s="6">
        <v>-8202</v>
      </c>
      <c r="I65" s="6">
        <v>-13318</v>
      </c>
      <c r="J65" s="6">
        <v>-19930</v>
      </c>
      <c r="K65" s="6">
        <v>-4929</v>
      </c>
      <c r="L65" s="6">
        <v>-5101</v>
      </c>
      <c r="M65" s="6">
        <v>-12901</v>
      </c>
      <c r="N65" s="6">
        <v>-23401</v>
      </c>
      <c r="O65" s="256">
        <v>-11679</v>
      </c>
      <c r="P65" s="256">
        <v>-26417</v>
      </c>
      <c r="Q65" s="256">
        <v>-32171.687140000002</v>
      </c>
      <c r="R65" s="256">
        <v>-42920.3488</v>
      </c>
      <c r="S65" s="256">
        <v>4079</v>
      </c>
      <c r="T65" s="256">
        <v>-5991</v>
      </c>
      <c r="U65" s="256">
        <v>39205</v>
      </c>
      <c r="V65" s="256">
        <v>39881</v>
      </c>
      <c r="W65" s="256">
        <v>2081</v>
      </c>
      <c r="X65" s="256">
        <v>5570</v>
      </c>
    </row>
    <row r="66" spans="1:29">
      <c r="A66" s="104" t="s">
        <v>304</v>
      </c>
      <c r="B66" s="104" t="s">
        <v>113</v>
      </c>
      <c r="C66" s="7">
        <f t="shared" ref="C66:X66" si="68">SUM(C60:C65,C59,C56)</f>
        <v>248684</v>
      </c>
      <c r="D66" s="7">
        <f t="shared" si="68"/>
        <v>527410</v>
      </c>
      <c r="E66" s="7">
        <f t="shared" si="68"/>
        <v>824821</v>
      </c>
      <c r="F66" s="7">
        <f t="shared" si="68"/>
        <v>1113549</v>
      </c>
      <c r="G66" s="7">
        <f t="shared" si="68"/>
        <v>271072</v>
      </c>
      <c r="H66" s="7">
        <f t="shared" si="68"/>
        <v>579708</v>
      </c>
      <c r="I66" s="7">
        <f t="shared" si="68"/>
        <v>892495</v>
      </c>
      <c r="J66" s="7">
        <f t="shared" si="68"/>
        <v>1223082</v>
      </c>
      <c r="K66" s="7">
        <f t="shared" si="68"/>
        <v>284032</v>
      </c>
      <c r="L66" s="7">
        <f t="shared" si="68"/>
        <v>577198.37461358006</v>
      </c>
      <c r="M66" s="7">
        <f t="shared" si="68"/>
        <v>914711</v>
      </c>
      <c r="N66" s="7">
        <f t="shared" si="68"/>
        <v>1083334</v>
      </c>
      <c r="O66" s="257">
        <f t="shared" si="68"/>
        <v>150539</v>
      </c>
      <c r="P66" s="257">
        <f t="shared" si="68"/>
        <v>327124</v>
      </c>
      <c r="Q66" s="257">
        <f t="shared" si="68"/>
        <v>522323</v>
      </c>
      <c r="R66" s="257">
        <f t="shared" si="68"/>
        <v>490082</v>
      </c>
      <c r="S66" s="257">
        <f t="shared" si="68"/>
        <v>-169989</v>
      </c>
      <c r="T66" s="257">
        <f t="shared" si="68"/>
        <v>-196973</v>
      </c>
      <c r="U66" s="257">
        <f t="shared" si="68"/>
        <v>-363283</v>
      </c>
      <c r="V66" s="257">
        <f t="shared" si="68"/>
        <v>-688332</v>
      </c>
      <c r="W66" s="257">
        <f t="shared" si="68"/>
        <v>91415</v>
      </c>
      <c r="X66" s="257">
        <f t="shared" si="68"/>
        <v>165275</v>
      </c>
    </row>
    <row r="67" spans="1:29">
      <c r="A67" s="102" t="s">
        <v>305</v>
      </c>
      <c r="B67" s="102" t="s">
        <v>306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256">
        <v>0</v>
      </c>
      <c r="P67" s="256">
        <v>0</v>
      </c>
      <c r="Q67" s="256">
        <v>0</v>
      </c>
      <c r="R67" s="256">
        <v>0</v>
      </c>
      <c r="S67" s="256">
        <v>0</v>
      </c>
      <c r="T67" s="256">
        <v>0</v>
      </c>
      <c r="U67" s="256">
        <v>0</v>
      </c>
      <c r="V67" s="256">
        <v>0</v>
      </c>
      <c r="W67" s="256">
        <v>0</v>
      </c>
      <c r="X67" s="256">
        <v>0</v>
      </c>
    </row>
    <row r="68" spans="1:29">
      <c r="A68" s="102" t="s">
        <v>247</v>
      </c>
      <c r="B68" s="102" t="s">
        <v>248</v>
      </c>
      <c r="C68" s="6">
        <v>-47230</v>
      </c>
      <c r="D68" s="6">
        <v>-93680</v>
      </c>
      <c r="E68" s="6">
        <v>-140056</v>
      </c>
      <c r="F68" s="6">
        <v>-188326</v>
      </c>
      <c r="G68" s="6">
        <v>-52178</v>
      </c>
      <c r="H68" s="6">
        <v>-100656</v>
      </c>
      <c r="I68" s="6">
        <v>-148525</v>
      </c>
      <c r="J68" s="6">
        <v>-198477</v>
      </c>
      <c r="K68" s="6">
        <v>-51358</v>
      </c>
      <c r="L68" s="6">
        <v>-110008</v>
      </c>
      <c r="M68" s="6">
        <v>-178857</v>
      </c>
      <c r="N68" s="6">
        <v>-247991</v>
      </c>
      <c r="O68" s="256">
        <v>-72741</v>
      </c>
      <c r="P68" s="256">
        <v>-141188</v>
      </c>
      <c r="Q68" s="256">
        <v>-209027</v>
      </c>
      <c r="R68" s="256">
        <v>-279147</v>
      </c>
      <c r="S68" s="256">
        <v>-75041</v>
      </c>
      <c r="T68" s="256">
        <v>-151968</v>
      </c>
      <c r="U68" s="256">
        <v>-230599</v>
      </c>
      <c r="V68" s="256">
        <v>-312611</v>
      </c>
      <c r="W68" s="256">
        <v>-81984</v>
      </c>
      <c r="X68" s="256">
        <v>-168824</v>
      </c>
    </row>
    <row r="69" spans="1:29" ht="24">
      <c r="A69" s="104" t="s">
        <v>307</v>
      </c>
      <c r="B69" s="104" t="s">
        <v>308</v>
      </c>
      <c r="C69" s="7">
        <f t="shared" ref="C69:J69" si="69">SUM(C66:C68)</f>
        <v>201454</v>
      </c>
      <c r="D69" s="7">
        <f t="shared" si="69"/>
        <v>433730</v>
      </c>
      <c r="E69" s="7">
        <f t="shared" si="69"/>
        <v>684765</v>
      </c>
      <c r="F69" s="7">
        <f t="shared" si="69"/>
        <v>925223</v>
      </c>
      <c r="G69" s="7">
        <f t="shared" si="69"/>
        <v>218894</v>
      </c>
      <c r="H69" s="7">
        <f t="shared" si="69"/>
        <v>479052</v>
      </c>
      <c r="I69" s="7">
        <f t="shared" si="69"/>
        <v>743970</v>
      </c>
      <c r="J69" s="7">
        <f t="shared" si="69"/>
        <v>1024605</v>
      </c>
      <c r="K69" s="7">
        <f t="shared" ref="K69:X69" si="70">SUM(K66:K68)</f>
        <v>232674</v>
      </c>
      <c r="L69" s="7">
        <f t="shared" si="70"/>
        <v>467190.37461358006</v>
      </c>
      <c r="M69" s="7">
        <f t="shared" si="70"/>
        <v>735854</v>
      </c>
      <c r="N69" s="7">
        <f t="shared" si="70"/>
        <v>835343</v>
      </c>
      <c r="O69" s="257">
        <f t="shared" si="70"/>
        <v>77798</v>
      </c>
      <c r="P69" s="257">
        <f t="shared" si="70"/>
        <v>185936</v>
      </c>
      <c r="Q69" s="257">
        <f t="shared" si="70"/>
        <v>313296</v>
      </c>
      <c r="R69" s="257">
        <f t="shared" si="70"/>
        <v>210935</v>
      </c>
      <c r="S69" s="257">
        <f t="shared" si="70"/>
        <v>-245030</v>
      </c>
      <c r="T69" s="257">
        <f t="shared" si="70"/>
        <v>-348941</v>
      </c>
      <c r="U69" s="257">
        <f t="shared" si="70"/>
        <v>-593882</v>
      </c>
      <c r="V69" s="257">
        <f t="shared" si="70"/>
        <v>-1000943</v>
      </c>
      <c r="W69" s="257">
        <f t="shared" si="70"/>
        <v>9431</v>
      </c>
      <c r="X69" s="257">
        <f t="shared" si="70"/>
        <v>-3549</v>
      </c>
    </row>
    <row r="70" spans="1:29" ht="12.5" thickBot="1">
      <c r="A70" s="105" t="s">
        <v>15</v>
      </c>
      <c r="B70" s="105" t="s">
        <v>117</v>
      </c>
      <c r="C70" s="9">
        <v>-60956</v>
      </c>
      <c r="D70" s="9">
        <v>-119634</v>
      </c>
      <c r="E70" s="9">
        <v>-183185</v>
      </c>
      <c r="F70" s="9">
        <v>-243996</v>
      </c>
      <c r="G70" s="9">
        <v>-63618</v>
      </c>
      <c r="H70" s="9">
        <v>-131107</v>
      </c>
      <c r="I70" s="9">
        <v>-195836</v>
      </c>
      <c r="J70" s="9">
        <v>-263954</v>
      </c>
      <c r="K70" s="9">
        <v>-72708</v>
      </c>
      <c r="L70" s="9">
        <v>-133567</v>
      </c>
      <c r="M70" s="9">
        <v>-202091</v>
      </c>
      <c r="N70" s="9">
        <v>-274611</v>
      </c>
      <c r="O70" s="259">
        <v>-59669</v>
      </c>
      <c r="P70" s="259">
        <v>-114212</v>
      </c>
      <c r="Q70" s="259">
        <v>-181426</v>
      </c>
      <c r="R70" s="259">
        <v>-188118</v>
      </c>
      <c r="S70" s="259">
        <v>-66308</v>
      </c>
      <c r="T70" s="259">
        <v>-162707</v>
      </c>
      <c r="U70" s="259">
        <v>-229074</v>
      </c>
      <c r="V70" s="259">
        <v>-330923</v>
      </c>
      <c r="W70" s="259">
        <v>-131771</v>
      </c>
      <c r="X70" s="259">
        <v>-259052</v>
      </c>
    </row>
    <row r="71" spans="1:29" ht="12.5" thickBot="1">
      <c r="A71" s="106" t="s">
        <v>309</v>
      </c>
      <c r="B71" s="106" t="s">
        <v>116</v>
      </c>
      <c r="C71" s="2">
        <f t="shared" ref="C71:I71" si="71">+C70+C69</f>
        <v>140498</v>
      </c>
      <c r="D71" s="2">
        <f t="shared" si="71"/>
        <v>314096</v>
      </c>
      <c r="E71" s="2">
        <f t="shared" si="71"/>
        <v>501580</v>
      </c>
      <c r="F71" s="2">
        <f t="shared" si="71"/>
        <v>681227</v>
      </c>
      <c r="G71" s="2">
        <f t="shared" si="71"/>
        <v>155276</v>
      </c>
      <c r="H71" s="2">
        <f t="shared" si="71"/>
        <v>347945</v>
      </c>
      <c r="I71" s="2">
        <f t="shared" si="71"/>
        <v>548134</v>
      </c>
      <c r="J71" s="2">
        <f t="shared" ref="J71:X71" si="72">+J70+J69</f>
        <v>760651</v>
      </c>
      <c r="K71" s="2">
        <f t="shared" si="72"/>
        <v>159966</v>
      </c>
      <c r="L71" s="2">
        <f t="shared" si="72"/>
        <v>333623.37461358006</v>
      </c>
      <c r="M71" s="2">
        <f t="shared" si="72"/>
        <v>533763</v>
      </c>
      <c r="N71" s="2">
        <f t="shared" si="72"/>
        <v>560732</v>
      </c>
      <c r="O71" s="261">
        <f t="shared" si="72"/>
        <v>18129</v>
      </c>
      <c r="P71" s="261">
        <f t="shared" si="72"/>
        <v>71724</v>
      </c>
      <c r="Q71" s="261">
        <f t="shared" si="72"/>
        <v>131870</v>
      </c>
      <c r="R71" s="261">
        <f t="shared" si="72"/>
        <v>22817</v>
      </c>
      <c r="S71" s="261">
        <f t="shared" si="72"/>
        <v>-311338</v>
      </c>
      <c r="T71" s="261">
        <f t="shared" si="72"/>
        <v>-511648</v>
      </c>
      <c r="U71" s="261">
        <f t="shared" si="72"/>
        <v>-822956</v>
      </c>
      <c r="V71" s="261">
        <f t="shared" si="72"/>
        <v>-1331866</v>
      </c>
      <c r="W71" s="261">
        <f t="shared" si="72"/>
        <v>-122340</v>
      </c>
      <c r="X71" s="261">
        <f t="shared" si="72"/>
        <v>-262601</v>
      </c>
    </row>
    <row r="72" spans="1:29">
      <c r="A72" s="103" t="s">
        <v>17</v>
      </c>
      <c r="B72" s="103" t="s">
        <v>92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260"/>
      <c r="P72" s="260"/>
      <c r="Q72" s="260"/>
      <c r="R72" s="260"/>
      <c r="S72" s="260"/>
      <c r="T72" s="260"/>
      <c r="U72" s="260"/>
      <c r="V72" s="260"/>
      <c r="W72" s="260"/>
      <c r="X72" s="260"/>
    </row>
    <row r="73" spans="1:29">
      <c r="A73" s="148" t="s">
        <v>18</v>
      </c>
      <c r="B73" s="148" t="s">
        <v>310</v>
      </c>
      <c r="C73" s="6">
        <v>140498</v>
      </c>
      <c r="D73" s="6">
        <f t="shared" ref="D73:J73" si="73">+D71</f>
        <v>314096</v>
      </c>
      <c r="E73" s="6">
        <f t="shared" si="73"/>
        <v>501580</v>
      </c>
      <c r="F73" s="6">
        <f t="shared" si="73"/>
        <v>681227</v>
      </c>
      <c r="G73" s="6">
        <f t="shared" si="73"/>
        <v>155276</v>
      </c>
      <c r="H73" s="6">
        <f t="shared" si="73"/>
        <v>347945</v>
      </c>
      <c r="I73" s="6">
        <f t="shared" si="73"/>
        <v>548134</v>
      </c>
      <c r="J73" s="6">
        <f t="shared" si="73"/>
        <v>760651</v>
      </c>
      <c r="K73" s="6">
        <f t="shared" ref="K73:X73" si="74">+K71</f>
        <v>159966</v>
      </c>
      <c r="L73" s="6">
        <f t="shared" si="74"/>
        <v>333623.37461358006</v>
      </c>
      <c r="M73" s="6">
        <f t="shared" si="74"/>
        <v>533763</v>
      </c>
      <c r="N73" s="6">
        <f t="shared" si="74"/>
        <v>560732</v>
      </c>
      <c r="O73" s="256">
        <f t="shared" si="74"/>
        <v>18129</v>
      </c>
      <c r="P73" s="256">
        <f t="shared" si="74"/>
        <v>71724</v>
      </c>
      <c r="Q73" s="256">
        <f t="shared" si="74"/>
        <v>131870</v>
      </c>
      <c r="R73" s="256">
        <f t="shared" si="74"/>
        <v>22817</v>
      </c>
      <c r="S73" s="256">
        <f t="shared" si="74"/>
        <v>-311338</v>
      </c>
      <c r="T73" s="256">
        <f t="shared" si="74"/>
        <v>-511648</v>
      </c>
      <c r="U73" s="256">
        <f t="shared" si="74"/>
        <v>-822956</v>
      </c>
      <c r="V73" s="256">
        <f t="shared" si="74"/>
        <v>-1331866</v>
      </c>
      <c r="W73" s="256">
        <f t="shared" si="74"/>
        <v>-122340</v>
      </c>
      <c r="X73" s="256">
        <f t="shared" si="74"/>
        <v>-262601</v>
      </c>
    </row>
    <row r="74" spans="1:29">
      <c r="A74" s="148" t="s">
        <v>19</v>
      </c>
      <c r="B74" s="148" t="s">
        <v>311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256">
        <v>0</v>
      </c>
      <c r="P74" s="256">
        <v>0</v>
      </c>
      <c r="Q74" s="256">
        <v>0</v>
      </c>
      <c r="R74" s="256">
        <v>0</v>
      </c>
      <c r="S74" s="256">
        <v>0</v>
      </c>
      <c r="T74" s="256">
        <v>0</v>
      </c>
      <c r="U74" s="256">
        <v>0</v>
      </c>
      <c r="V74" s="256">
        <v>0</v>
      </c>
      <c r="W74" s="256">
        <v>0</v>
      </c>
      <c r="X74" s="256">
        <v>0</v>
      </c>
    </row>
    <row r="75" spans="1:29" ht="12.5" thickBot="1">
      <c r="A75" s="149" t="s">
        <v>20</v>
      </c>
      <c r="B75" s="149" t="s">
        <v>312</v>
      </c>
      <c r="C75" s="150">
        <v>1213116777</v>
      </c>
      <c r="D75" s="150">
        <v>1213116777</v>
      </c>
      <c r="E75" s="150">
        <v>1213116777</v>
      </c>
      <c r="F75" s="150">
        <v>1213116777</v>
      </c>
      <c r="G75" s="150">
        <v>1213116777</v>
      </c>
      <c r="H75" s="150">
        <v>1213116777</v>
      </c>
      <c r="I75" s="150">
        <v>1213116777</v>
      </c>
      <c r="J75" s="150">
        <v>1213116777</v>
      </c>
      <c r="K75" s="150">
        <v>1213116777</v>
      </c>
      <c r="L75" s="150">
        <v>1213116777</v>
      </c>
      <c r="M75" s="150">
        <v>1213116777</v>
      </c>
      <c r="N75" s="150">
        <v>1213116777</v>
      </c>
      <c r="O75" s="262">
        <v>1213116777</v>
      </c>
      <c r="P75" s="262">
        <v>1213116777</v>
      </c>
      <c r="Q75" s="262">
        <v>1213116777</v>
      </c>
      <c r="R75" s="262">
        <v>1213116777</v>
      </c>
      <c r="S75" s="262">
        <v>1213116777</v>
      </c>
      <c r="T75" s="262">
        <v>1213116777</v>
      </c>
      <c r="U75" s="262">
        <v>1213116777</v>
      </c>
      <c r="V75" s="262">
        <v>1213116777</v>
      </c>
      <c r="W75" s="262">
        <v>1213116777</v>
      </c>
      <c r="X75" s="262">
        <v>1213116777</v>
      </c>
      <c r="Y75" s="94"/>
      <c r="Z75" s="94"/>
      <c r="AA75" s="94"/>
      <c r="AB75" s="94"/>
      <c r="AC75" s="94"/>
    </row>
    <row r="76" spans="1:29" ht="12.5" thickBot="1">
      <c r="A76" s="151" t="s">
        <v>313</v>
      </c>
      <c r="B76" s="151" t="s">
        <v>96</v>
      </c>
      <c r="C76" s="152">
        <f t="shared" ref="C76:J76" si="75">+C73*1000/C75</f>
        <v>0.11581572579306601</v>
      </c>
      <c r="D76" s="152">
        <f t="shared" si="75"/>
        <v>0.25891654122264274</v>
      </c>
      <c r="E76" s="152">
        <f t="shared" si="75"/>
        <v>0.41346390513235809</v>
      </c>
      <c r="F76" s="152">
        <f t="shared" si="75"/>
        <v>0.56155105008493345</v>
      </c>
      <c r="G76" s="152">
        <f t="shared" si="75"/>
        <v>0.12799757034437584</v>
      </c>
      <c r="H76" s="152">
        <f t="shared" si="75"/>
        <v>0.28681904874851138</v>
      </c>
      <c r="I76" s="152">
        <f t="shared" si="75"/>
        <v>0.45183943573471824</v>
      </c>
      <c r="J76" s="152">
        <f t="shared" si="75"/>
        <v>0.62702207604536331</v>
      </c>
      <c r="K76" s="152">
        <f t="shared" ref="K76:X76" si="76">+K73*1000/K75</f>
        <v>0.13186364497867298</v>
      </c>
      <c r="L76" s="152">
        <f t="shared" si="76"/>
        <v>0.27501340426485588</v>
      </c>
      <c r="M76" s="152">
        <f t="shared" si="76"/>
        <v>0.43999309062395403</v>
      </c>
      <c r="N76" s="152">
        <f t="shared" si="76"/>
        <v>0.46222425625558716</v>
      </c>
      <c r="O76" s="263">
        <f t="shared" si="76"/>
        <v>1.4944150755900394E-2</v>
      </c>
      <c r="P76" s="263">
        <f t="shared" si="76"/>
        <v>5.9123739247404702E-2</v>
      </c>
      <c r="Q76" s="263">
        <f t="shared" si="76"/>
        <v>0.10870346738267886</v>
      </c>
      <c r="R76" s="263">
        <f t="shared" si="76"/>
        <v>1.8808576744298047E-2</v>
      </c>
      <c r="S76" s="263">
        <f t="shared" si="76"/>
        <v>-0.25664305852725011</v>
      </c>
      <c r="T76" s="263">
        <f t="shared" si="76"/>
        <v>-0.42176318859037593</v>
      </c>
      <c r="U76" s="263">
        <f t="shared" si="76"/>
        <v>-0.67838151742913366</v>
      </c>
      <c r="V76" s="263">
        <f t="shared" si="76"/>
        <v>-1.0978877097831119</v>
      </c>
      <c r="W76" s="263">
        <f t="shared" si="76"/>
        <v>-0.10084766967162305</v>
      </c>
      <c r="X76" s="263">
        <f t="shared" si="76"/>
        <v>-0.21646803092559982</v>
      </c>
      <c r="Y76" s="91"/>
      <c r="Z76" s="91"/>
      <c r="AA76" s="91"/>
      <c r="AB76" s="91"/>
      <c r="AC76" s="91"/>
    </row>
    <row r="77" spans="1:29">
      <c r="A77" s="1" t="s">
        <v>619</v>
      </c>
      <c r="B77" s="1" t="s">
        <v>620</v>
      </c>
      <c r="W77" s="1"/>
      <c r="X77" s="1"/>
      <c r="Y77" s="1"/>
      <c r="Z77" s="1"/>
      <c r="AA77" s="1"/>
      <c r="AB77" s="1"/>
      <c r="AC77" s="1"/>
    </row>
    <row r="78" spans="1:29">
      <c r="A78" s="1" t="s">
        <v>490</v>
      </c>
      <c r="B78" s="1" t="s">
        <v>488</v>
      </c>
    </row>
    <row r="79" spans="1:29">
      <c r="A79" s="1" t="s">
        <v>621</v>
      </c>
      <c r="B79" s="1" t="s">
        <v>622</v>
      </c>
    </row>
    <row r="80" spans="1:29">
      <c r="A80" s="69"/>
      <c r="B80" s="53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</row>
  </sheetData>
  <pageMargins left="0.25" right="0.25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43"/>
  <sheetViews>
    <sheetView zoomScale="80" zoomScaleNormal="80" workbookViewId="0">
      <selection activeCell="L10" sqref="L10"/>
    </sheetView>
  </sheetViews>
  <sheetFormatPr defaultColWidth="8.75" defaultRowHeight="12" outlineLevelCol="1"/>
  <cols>
    <col min="1" max="1" width="31.08203125" style="1" customWidth="1"/>
    <col min="2" max="2" width="38.25" style="1" customWidth="1"/>
    <col min="3" max="9" width="10.75" style="1" hidden="1" customWidth="1" outlineLevel="1"/>
    <col min="10" max="10" width="12.33203125" style="1" hidden="1" customWidth="1" outlineLevel="1"/>
    <col min="11" max="11" width="12.33203125" style="1" customWidth="1" collapsed="1"/>
    <col min="12" max="18" width="12.25" style="1" customWidth="1"/>
    <col min="19" max="16384" width="8.75" style="1"/>
  </cols>
  <sheetData>
    <row r="1" spans="1:18" ht="29.15" customHeight="1" thickBot="1">
      <c r="A1" s="83" t="s">
        <v>188</v>
      </c>
    </row>
    <row r="2" spans="1:18" ht="12.5" thickBot="1">
      <c r="A2" s="31" t="s">
        <v>203</v>
      </c>
      <c r="B2" s="31" t="s">
        <v>204</v>
      </c>
      <c r="C2" s="33" t="s">
        <v>190</v>
      </c>
      <c r="D2" s="33" t="s">
        <v>193</v>
      </c>
      <c r="E2" s="33" t="s">
        <v>198</v>
      </c>
      <c r="F2" s="33" t="s">
        <v>214</v>
      </c>
      <c r="G2" s="33" t="s">
        <v>220</v>
      </c>
      <c r="H2" s="33" t="s">
        <v>236</v>
      </c>
      <c r="I2" s="33" t="s">
        <v>241</v>
      </c>
      <c r="J2" s="33" t="s">
        <v>244</v>
      </c>
      <c r="K2" s="33" t="s">
        <v>246</v>
      </c>
      <c r="L2" s="33" t="s">
        <v>254</v>
      </c>
      <c r="M2" s="33" t="s">
        <v>255</v>
      </c>
      <c r="N2" s="33" t="s">
        <v>261</v>
      </c>
      <c r="O2" s="33" t="s">
        <v>263</v>
      </c>
      <c r="P2" s="33" t="s">
        <v>274</v>
      </c>
      <c r="Q2" s="33" t="s">
        <v>279</v>
      </c>
      <c r="R2" s="33" t="s">
        <v>284</v>
      </c>
    </row>
    <row r="3" spans="1:18" ht="18.649999999999999" customHeight="1">
      <c r="A3" s="32" t="s">
        <v>31</v>
      </c>
      <c r="B3" s="32" t="s">
        <v>118</v>
      </c>
      <c r="C3" s="20">
        <v>2768736</v>
      </c>
      <c r="D3" s="20">
        <v>2607158</v>
      </c>
      <c r="E3" s="20">
        <v>1705231</v>
      </c>
      <c r="F3" s="20">
        <v>2612242</v>
      </c>
      <c r="G3" s="20">
        <v>2352981</v>
      </c>
      <c r="H3" s="20">
        <v>1939354</v>
      </c>
      <c r="I3" s="20">
        <v>1709617</v>
      </c>
      <c r="J3" s="20">
        <v>1946384</v>
      </c>
      <c r="K3" s="20">
        <v>2504314</v>
      </c>
      <c r="L3" s="20">
        <v>2937399</v>
      </c>
      <c r="M3" s="20">
        <v>2366287</v>
      </c>
      <c r="N3" s="20">
        <v>1778768</v>
      </c>
      <c r="O3" s="20">
        <v>1828486</v>
      </c>
      <c r="P3" s="20">
        <v>2171577</v>
      </c>
      <c r="Q3" s="20">
        <v>3672323</v>
      </c>
      <c r="R3" s="20">
        <v>2080151</v>
      </c>
    </row>
    <row r="4" spans="1:18" ht="24">
      <c r="A4" s="32" t="s">
        <v>32</v>
      </c>
      <c r="B4" s="32" t="s">
        <v>119</v>
      </c>
      <c r="C4" s="20">
        <v>1537594</v>
      </c>
      <c r="D4" s="20">
        <v>2137332</v>
      </c>
      <c r="E4" s="20">
        <v>1710686</v>
      </c>
      <c r="F4" s="20">
        <v>2384744</v>
      </c>
      <c r="G4" s="20">
        <v>3612336</v>
      </c>
      <c r="H4" s="20">
        <v>3735715</v>
      </c>
      <c r="I4" s="20">
        <v>2772346</v>
      </c>
      <c r="J4" s="20">
        <v>2348754</v>
      </c>
      <c r="K4" s="20">
        <v>1655946</v>
      </c>
      <c r="L4" s="20">
        <v>2298550</v>
      </c>
      <c r="M4" s="20">
        <v>1368503</v>
      </c>
      <c r="N4" s="20">
        <v>1267811</v>
      </c>
      <c r="O4" s="20">
        <v>968741</v>
      </c>
      <c r="P4" s="20">
        <v>517562</v>
      </c>
      <c r="Q4" s="20">
        <v>355619</v>
      </c>
      <c r="R4" s="20">
        <v>254205</v>
      </c>
    </row>
    <row r="5" spans="1:18" ht="56.5" customHeight="1">
      <c r="A5" s="32" t="s">
        <v>33</v>
      </c>
      <c r="B5" s="32" t="s">
        <v>249</v>
      </c>
      <c r="C5" s="20">
        <v>798242</v>
      </c>
      <c r="D5" s="20">
        <v>1077603</v>
      </c>
      <c r="E5" s="20">
        <v>1400238</v>
      </c>
      <c r="F5" s="20">
        <v>1417276</v>
      </c>
      <c r="G5" s="20">
        <v>2444174</v>
      </c>
      <c r="H5" s="20">
        <v>4167242</v>
      </c>
      <c r="I5" s="20">
        <v>1031819</v>
      </c>
      <c r="J5" s="20">
        <v>768650</v>
      </c>
      <c r="K5" s="20">
        <v>702651</v>
      </c>
      <c r="L5" s="20">
        <v>461529</v>
      </c>
      <c r="M5" s="20">
        <v>659132</v>
      </c>
      <c r="N5" s="20">
        <v>564574</v>
      </c>
      <c r="O5" s="20">
        <v>664478</v>
      </c>
      <c r="P5" s="20">
        <v>624682</v>
      </c>
      <c r="Q5" s="20">
        <v>598544</v>
      </c>
      <c r="R5" s="20">
        <v>531125</v>
      </c>
    </row>
    <row r="6" spans="1:18">
      <c r="A6" s="32" t="s">
        <v>34</v>
      </c>
      <c r="B6" s="32" t="s">
        <v>120</v>
      </c>
      <c r="C6" s="20">
        <v>91606</v>
      </c>
      <c r="D6" s="20">
        <v>74739</v>
      </c>
      <c r="E6" s="20">
        <v>45399</v>
      </c>
      <c r="F6" s="20">
        <v>18999</v>
      </c>
      <c r="G6" s="20">
        <v>81517</v>
      </c>
      <c r="H6" s="20">
        <v>41205</v>
      </c>
      <c r="I6" s="20">
        <v>127583</v>
      </c>
      <c r="J6" s="20">
        <v>70833</v>
      </c>
      <c r="K6" s="20">
        <v>128594</v>
      </c>
      <c r="L6" s="20">
        <v>16756</v>
      </c>
      <c r="M6" s="20">
        <v>69039</v>
      </c>
      <c r="N6" s="20">
        <v>17934</v>
      </c>
      <c r="O6" s="20">
        <v>201111</v>
      </c>
      <c r="P6" s="20">
        <v>378203</v>
      </c>
      <c r="Q6" s="20">
        <v>576930</v>
      </c>
      <c r="R6" s="20">
        <v>885880</v>
      </c>
    </row>
    <row r="7" spans="1:18">
      <c r="A7" s="32" t="s">
        <v>35</v>
      </c>
      <c r="B7" s="32" t="s">
        <v>121</v>
      </c>
      <c r="C7" s="20">
        <v>42848551</v>
      </c>
      <c r="D7" s="20">
        <v>43374424</v>
      </c>
      <c r="E7" s="20">
        <v>43847116</v>
      </c>
      <c r="F7" s="20">
        <v>44142699</v>
      </c>
      <c r="G7" s="20">
        <v>46534715</v>
      </c>
      <c r="H7" s="20">
        <v>46998230</v>
      </c>
      <c r="I7" s="20">
        <v>46191208</v>
      </c>
      <c r="J7" s="20">
        <v>46369381</v>
      </c>
      <c r="K7" s="20">
        <v>46085236</v>
      </c>
      <c r="L7" s="20">
        <v>46964628</v>
      </c>
      <c r="M7" s="20">
        <v>46391040</v>
      </c>
      <c r="N7" s="20">
        <v>47020043</v>
      </c>
      <c r="O7" s="20">
        <v>46992403</v>
      </c>
      <c r="P7" s="20">
        <v>47316323</v>
      </c>
      <c r="Q7" s="20">
        <v>47593226</v>
      </c>
      <c r="R7" s="20">
        <v>47411078</v>
      </c>
    </row>
    <row r="8" spans="1:18">
      <c r="A8" s="32" t="s">
        <v>36</v>
      </c>
      <c r="B8" s="32" t="s">
        <v>122</v>
      </c>
      <c r="C8" s="20">
        <v>8595232</v>
      </c>
      <c r="D8" s="20">
        <v>8758361</v>
      </c>
      <c r="E8" s="20">
        <v>10772902</v>
      </c>
      <c r="F8" s="20">
        <v>9249537</v>
      </c>
      <c r="G8" s="20">
        <v>8085567</v>
      </c>
      <c r="H8" s="20">
        <v>10872451</v>
      </c>
      <c r="I8" s="20">
        <v>12246421</v>
      </c>
      <c r="J8" s="20">
        <v>13874320</v>
      </c>
      <c r="K8" s="20">
        <v>13212877</v>
      </c>
      <c r="L8" s="20">
        <v>13110183</v>
      </c>
      <c r="M8" s="20">
        <v>15184081</v>
      </c>
      <c r="N8" s="20">
        <v>17135347</v>
      </c>
      <c r="O8" s="20">
        <v>16594550</v>
      </c>
      <c r="P8" s="20">
        <v>17467016</v>
      </c>
      <c r="Q8" s="20">
        <v>16485662</v>
      </c>
      <c r="R8" s="20">
        <v>19066946</v>
      </c>
    </row>
    <row r="9" spans="1:18" ht="17.149999999999999" customHeight="1">
      <c r="A9" s="32" t="s">
        <v>37</v>
      </c>
      <c r="B9" s="32" t="s">
        <v>123</v>
      </c>
      <c r="C9" s="20">
        <v>3009</v>
      </c>
      <c r="D9" s="20">
        <v>3009</v>
      </c>
      <c r="E9" s="20">
        <v>3009</v>
      </c>
      <c r="F9" s="20">
        <v>2762</v>
      </c>
      <c r="G9" s="20">
        <v>1336</v>
      </c>
      <c r="H9" s="20">
        <v>1378</v>
      </c>
      <c r="I9" s="20">
        <v>1378</v>
      </c>
      <c r="J9" s="20">
        <v>1378</v>
      </c>
      <c r="K9" s="20">
        <v>1378</v>
      </c>
      <c r="L9" s="20">
        <v>1378</v>
      </c>
      <c r="M9" s="20">
        <v>1378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</row>
    <row r="10" spans="1:18" ht="27.65" customHeight="1">
      <c r="A10" s="32" t="s">
        <v>38</v>
      </c>
      <c r="B10" s="32" t="s">
        <v>124</v>
      </c>
      <c r="C10" s="20">
        <v>335297</v>
      </c>
      <c r="D10" s="20">
        <v>319027</v>
      </c>
      <c r="E10" s="20">
        <v>381830</v>
      </c>
      <c r="F10" s="20">
        <v>155642</v>
      </c>
      <c r="G10" s="20">
        <v>81105</v>
      </c>
      <c r="H10" s="20">
        <v>131067</v>
      </c>
      <c r="I10" s="20">
        <v>44762</v>
      </c>
      <c r="J10" s="20">
        <v>0</v>
      </c>
      <c r="K10" s="20">
        <v>216140</v>
      </c>
      <c r="L10" s="20">
        <v>46852</v>
      </c>
      <c r="M10" s="20">
        <v>86311</v>
      </c>
      <c r="N10" s="20">
        <v>90520</v>
      </c>
      <c r="O10" s="20">
        <v>128263</v>
      </c>
      <c r="P10" s="20">
        <v>65148</v>
      </c>
      <c r="Q10" s="20">
        <v>305451</v>
      </c>
      <c r="R10" s="20">
        <v>0</v>
      </c>
    </row>
    <row r="11" spans="1:18" ht="24">
      <c r="A11" s="32" t="s">
        <v>41</v>
      </c>
      <c r="B11" s="32" t="s">
        <v>125</v>
      </c>
      <c r="C11" s="20">
        <v>199566</v>
      </c>
      <c r="D11" s="20">
        <v>197509</v>
      </c>
      <c r="E11" s="20">
        <v>192188</v>
      </c>
      <c r="F11" s="20">
        <v>212568</v>
      </c>
      <c r="G11" s="20">
        <v>203158</v>
      </c>
      <c r="H11" s="20">
        <v>199197</v>
      </c>
      <c r="I11" s="20">
        <v>197669</v>
      </c>
      <c r="J11" s="20">
        <v>218199</v>
      </c>
      <c r="K11" s="20">
        <v>215690</v>
      </c>
      <c r="L11" s="20">
        <v>208950</v>
      </c>
      <c r="M11" s="20">
        <v>206704</v>
      </c>
      <c r="N11" s="20">
        <v>226385</v>
      </c>
      <c r="O11" s="20">
        <v>220716</v>
      </c>
      <c r="P11" s="20">
        <v>232355</v>
      </c>
      <c r="Q11" s="20">
        <v>235489</v>
      </c>
      <c r="R11" s="20">
        <v>265636</v>
      </c>
    </row>
    <row r="12" spans="1:18" ht="12.5" thickBot="1">
      <c r="A12" s="32" t="s">
        <v>39</v>
      </c>
      <c r="B12" s="32" t="s">
        <v>126</v>
      </c>
      <c r="C12" s="20">
        <v>708781</v>
      </c>
      <c r="D12" s="20">
        <v>681761</v>
      </c>
      <c r="E12" s="20">
        <v>599663</v>
      </c>
      <c r="F12" s="20">
        <v>544013</v>
      </c>
      <c r="G12" s="20">
        <v>657336</v>
      </c>
      <c r="H12" s="20">
        <v>790984</v>
      </c>
      <c r="I12" s="20">
        <v>783332</v>
      </c>
      <c r="J12" s="20">
        <v>637357</v>
      </c>
      <c r="K12" s="20">
        <v>593103</v>
      </c>
      <c r="L12" s="20">
        <v>649473</v>
      </c>
      <c r="M12" s="20">
        <v>805581</v>
      </c>
      <c r="N12" s="20">
        <v>691405</v>
      </c>
      <c r="O12" s="20">
        <v>707171</v>
      </c>
      <c r="P12" s="20">
        <v>715981</v>
      </c>
      <c r="Q12" s="20">
        <v>644632</v>
      </c>
      <c r="R12" s="20">
        <v>646394</v>
      </c>
    </row>
    <row r="13" spans="1:18" ht="12.5" thickBot="1">
      <c r="A13" s="31" t="s">
        <v>40</v>
      </c>
      <c r="B13" s="31" t="s">
        <v>127</v>
      </c>
      <c r="C13" s="21">
        <f t="shared" ref="C13:H13" si="0">SUM(C3:C12)</f>
        <v>57886614</v>
      </c>
      <c r="D13" s="21">
        <f t="shared" si="0"/>
        <v>59230923</v>
      </c>
      <c r="E13" s="21">
        <f t="shared" si="0"/>
        <v>60658262</v>
      </c>
      <c r="F13" s="21">
        <f t="shared" si="0"/>
        <v>60740482</v>
      </c>
      <c r="G13" s="21">
        <f t="shared" si="0"/>
        <v>64054225</v>
      </c>
      <c r="H13" s="21">
        <f t="shared" si="0"/>
        <v>68876823</v>
      </c>
      <c r="I13" s="21">
        <f t="shared" ref="I13:O13" si="1">SUM(I3:I12)</f>
        <v>65106135</v>
      </c>
      <c r="J13" s="21">
        <f t="shared" si="1"/>
        <v>66235256</v>
      </c>
      <c r="K13" s="21">
        <f t="shared" si="1"/>
        <v>65315929</v>
      </c>
      <c r="L13" s="21">
        <f t="shared" si="1"/>
        <v>66695698</v>
      </c>
      <c r="M13" s="21">
        <f t="shared" si="1"/>
        <v>67138056</v>
      </c>
      <c r="N13" s="21">
        <f t="shared" si="1"/>
        <v>68792787</v>
      </c>
      <c r="O13" s="21">
        <f t="shared" si="1"/>
        <v>68305919</v>
      </c>
      <c r="P13" s="21">
        <f>SUM(P3:P12)</f>
        <v>69488847</v>
      </c>
      <c r="Q13" s="21">
        <f>SUM(Q3:Q12)</f>
        <v>70467876</v>
      </c>
      <c r="R13" s="21">
        <f>SUM(R3:R12)</f>
        <v>71141415</v>
      </c>
    </row>
    <row r="14" spans="1:18">
      <c r="A14" s="19"/>
      <c r="B14" s="19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</row>
    <row r="15" spans="1:18" ht="12.5" thickBot="1">
      <c r="A15" s="19"/>
      <c r="B15" s="19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</row>
    <row r="16" spans="1:18" ht="12.5" thickBot="1">
      <c r="A16" s="31" t="s">
        <v>205</v>
      </c>
      <c r="B16" s="31" t="s">
        <v>206</v>
      </c>
      <c r="C16" s="33" t="s">
        <v>190</v>
      </c>
      <c r="D16" s="33" t="s">
        <v>193</v>
      </c>
      <c r="E16" s="33" t="s">
        <v>198</v>
      </c>
      <c r="F16" s="33" t="s">
        <v>214</v>
      </c>
      <c r="G16" s="33" t="s">
        <v>220</v>
      </c>
      <c r="H16" s="33" t="s">
        <v>236</v>
      </c>
      <c r="I16" s="33" t="s">
        <v>241</v>
      </c>
      <c r="J16" s="33" t="s">
        <v>244</v>
      </c>
      <c r="K16" s="33" t="s">
        <v>246</v>
      </c>
      <c r="L16" s="33" t="s">
        <v>254</v>
      </c>
      <c r="M16" s="33" t="s">
        <v>255</v>
      </c>
      <c r="N16" s="33" t="s">
        <v>261</v>
      </c>
      <c r="O16" s="33" t="s">
        <v>263</v>
      </c>
      <c r="P16" s="33" t="s">
        <v>274</v>
      </c>
      <c r="Q16" s="33" t="s">
        <v>279</v>
      </c>
      <c r="R16" s="33" t="s">
        <v>284</v>
      </c>
    </row>
    <row r="17" spans="1:18">
      <c r="A17" s="32" t="s">
        <v>42</v>
      </c>
      <c r="B17" s="34" t="s">
        <v>128</v>
      </c>
      <c r="C17" s="22">
        <v>2345403</v>
      </c>
      <c r="D17" s="22">
        <v>2169331</v>
      </c>
      <c r="E17" s="22">
        <v>2086795</v>
      </c>
      <c r="F17" s="22">
        <v>2037269</v>
      </c>
      <c r="G17" s="22">
        <v>2282879</v>
      </c>
      <c r="H17" s="22">
        <v>2152713</v>
      </c>
      <c r="I17" s="22">
        <v>1952739</v>
      </c>
      <c r="J17" s="22">
        <v>1443921</v>
      </c>
      <c r="K17" s="22">
        <v>1488173</v>
      </c>
      <c r="L17" s="22">
        <v>1538246</v>
      </c>
      <c r="M17" s="22">
        <v>1448983</v>
      </c>
      <c r="N17" s="22">
        <v>1270745</v>
      </c>
      <c r="O17" s="22">
        <v>1405179</v>
      </c>
      <c r="P17" s="22">
        <v>1404356</v>
      </c>
      <c r="Q17" s="22">
        <v>2173068</v>
      </c>
      <c r="R17" s="22">
        <v>2353131</v>
      </c>
    </row>
    <row r="18" spans="1:18" ht="57.75" customHeight="1">
      <c r="A18" s="32" t="s">
        <v>251</v>
      </c>
      <c r="B18" s="32" t="s">
        <v>250</v>
      </c>
      <c r="C18" s="22">
        <v>456308</v>
      </c>
      <c r="D18" s="22">
        <v>552515</v>
      </c>
      <c r="E18" s="22">
        <v>715968</v>
      </c>
      <c r="F18" s="22">
        <v>629790</v>
      </c>
      <c r="G18" s="22">
        <v>463920</v>
      </c>
      <c r="H18" s="22">
        <v>421816</v>
      </c>
      <c r="I18" s="22">
        <v>355143</v>
      </c>
      <c r="J18" s="22">
        <v>344689</v>
      </c>
      <c r="K18" s="22">
        <v>537736</v>
      </c>
      <c r="L18" s="22">
        <v>325946</v>
      </c>
      <c r="M18" s="22">
        <v>364515</v>
      </c>
      <c r="N18" s="22">
        <v>339015</v>
      </c>
      <c r="O18" s="22">
        <v>250869</v>
      </c>
      <c r="P18" s="22">
        <v>367135</v>
      </c>
      <c r="Q18" s="22">
        <v>397288</v>
      </c>
      <c r="R18" s="22">
        <v>190111</v>
      </c>
    </row>
    <row r="19" spans="1:18">
      <c r="A19" s="32" t="s">
        <v>34</v>
      </c>
      <c r="B19" s="34" t="s">
        <v>120</v>
      </c>
      <c r="C19" s="22">
        <v>1016638</v>
      </c>
      <c r="D19" s="22">
        <v>1024290</v>
      </c>
      <c r="E19" s="22">
        <v>1061741</v>
      </c>
      <c r="F19" s="22">
        <v>1390225</v>
      </c>
      <c r="G19" s="22">
        <v>2923298</v>
      </c>
      <c r="H19" s="22">
        <v>3115574</v>
      </c>
      <c r="I19" s="22">
        <v>2204614</v>
      </c>
      <c r="J19" s="22">
        <v>2132053</v>
      </c>
      <c r="K19" s="22">
        <v>1611079</v>
      </c>
      <c r="L19" s="22">
        <v>1608139</v>
      </c>
      <c r="M19" s="22">
        <v>1162165</v>
      </c>
      <c r="N19" s="22">
        <v>1149654</v>
      </c>
      <c r="O19" s="22">
        <v>518866</v>
      </c>
      <c r="P19" s="22">
        <v>435590</v>
      </c>
      <c r="Q19" s="22">
        <v>317135</v>
      </c>
      <c r="R19" s="22">
        <v>176853</v>
      </c>
    </row>
    <row r="20" spans="1:18">
      <c r="A20" s="32" t="s">
        <v>43</v>
      </c>
      <c r="B20" s="34" t="s">
        <v>129</v>
      </c>
      <c r="C20" s="22">
        <v>45320166</v>
      </c>
      <c r="D20" s="22">
        <v>45970077</v>
      </c>
      <c r="E20" s="22">
        <v>47434828</v>
      </c>
      <c r="F20" s="22">
        <v>47591244</v>
      </c>
      <c r="G20" s="22">
        <v>48973195</v>
      </c>
      <c r="H20" s="22">
        <v>50233616</v>
      </c>
      <c r="I20" s="22">
        <v>51188116</v>
      </c>
      <c r="J20" s="22">
        <v>52810389</v>
      </c>
      <c r="K20" s="22">
        <v>52009985</v>
      </c>
      <c r="L20" s="22">
        <v>53360177</v>
      </c>
      <c r="M20" s="22">
        <v>54297732</v>
      </c>
      <c r="N20" s="22">
        <v>55875609</v>
      </c>
      <c r="O20" s="22">
        <v>56375553</v>
      </c>
      <c r="P20" s="22">
        <v>56987958</v>
      </c>
      <c r="Q20" s="22">
        <v>56678526</v>
      </c>
      <c r="R20" s="22">
        <v>57273255</v>
      </c>
    </row>
    <row r="21" spans="1:18" ht="30" customHeight="1">
      <c r="A21" s="32" t="s">
        <v>44</v>
      </c>
      <c r="B21" s="34" t="s">
        <v>130</v>
      </c>
      <c r="C21" s="22">
        <v>333135</v>
      </c>
      <c r="D21" s="22">
        <v>678826</v>
      </c>
      <c r="E21" s="22">
        <v>314310</v>
      </c>
      <c r="F21" s="22">
        <v>59765</v>
      </c>
      <c r="G21" s="22">
        <v>72234</v>
      </c>
      <c r="H21" s="22">
        <v>3364076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172345</v>
      </c>
      <c r="R21" s="22">
        <v>0</v>
      </c>
    </row>
    <row r="22" spans="1:18" ht="24">
      <c r="A22" s="32" t="s">
        <v>45</v>
      </c>
      <c r="B22" s="34" t="s">
        <v>131</v>
      </c>
      <c r="C22" s="22">
        <v>1219466</v>
      </c>
      <c r="D22" s="22">
        <v>1622932</v>
      </c>
      <c r="E22" s="22">
        <v>1749009</v>
      </c>
      <c r="F22" s="22">
        <v>1739461</v>
      </c>
      <c r="G22" s="22">
        <v>1563574</v>
      </c>
      <c r="H22" s="22">
        <v>1814038</v>
      </c>
      <c r="I22" s="22">
        <v>1621710</v>
      </c>
      <c r="J22" s="22">
        <v>1134250</v>
      </c>
      <c r="K22" s="22">
        <v>1279090</v>
      </c>
      <c r="L22" s="22">
        <v>1358137</v>
      </c>
      <c r="M22" s="22">
        <v>1327933</v>
      </c>
      <c r="N22" s="22">
        <v>1313836</v>
      </c>
      <c r="O22" s="22">
        <v>821786</v>
      </c>
      <c r="P22" s="22">
        <v>1158424</v>
      </c>
      <c r="Q22" s="22">
        <v>1191578</v>
      </c>
      <c r="R22" s="22">
        <v>1156473</v>
      </c>
    </row>
    <row r="23" spans="1:18">
      <c r="A23" s="32" t="s">
        <v>46</v>
      </c>
      <c r="B23" s="34" t="s">
        <v>132</v>
      </c>
      <c r="C23" s="22">
        <v>79317</v>
      </c>
      <c r="D23" s="22">
        <v>93727</v>
      </c>
      <c r="E23" s="22">
        <v>97420</v>
      </c>
      <c r="F23" s="22">
        <v>98574</v>
      </c>
      <c r="G23" s="22">
        <v>94563</v>
      </c>
      <c r="H23" s="22">
        <v>70415</v>
      </c>
      <c r="I23" s="22">
        <v>69764</v>
      </c>
      <c r="J23" s="22">
        <v>30848</v>
      </c>
      <c r="K23" s="22">
        <v>41205</v>
      </c>
      <c r="L23" s="22">
        <v>53994</v>
      </c>
      <c r="M23" s="22">
        <v>38335</v>
      </c>
      <c r="N23" s="22">
        <v>49415</v>
      </c>
      <c r="O23" s="22">
        <v>46574</v>
      </c>
      <c r="P23" s="22">
        <v>46300</v>
      </c>
      <c r="Q23" s="22">
        <v>54768</v>
      </c>
      <c r="R23" s="22">
        <v>67752</v>
      </c>
    </row>
    <row r="24" spans="1:18">
      <c r="A24" s="32" t="s">
        <v>48</v>
      </c>
      <c r="B24" s="35" t="s">
        <v>134</v>
      </c>
      <c r="C24" s="23">
        <v>630008</v>
      </c>
      <c r="D24" s="23">
        <v>624583</v>
      </c>
      <c r="E24" s="23">
        <v>630534</v>
      </c>
      <c r="F24" s="23">
        <v>639739</v>
      </c>
      <c r="G24" s="23">
        <v>617126</v>
      </c>
      <c r="H24" s="23">
        <v>629489</v>
      </c>
      <c r="I24" s="23">
        <v>639516</v>
      </c>
      <c r="J24" s="23">
        <v>639631</v>
      </c>
      <c r="K24" s="23">
        <v>644035</v>
      </c>
      <c r="L24" s="23">
        <v>664206</v>
      </c>
      <c r="M24" s="23">
        <v>650279</v>
      </c>
      <c r="N24" s="23">
        <v>664004</v>
      </c>
      <c r="O24" s="23">
        <v>636241</v>
      </c>
      <c r="P24" s="23">
        <v>634318</v>
      </c>
      <c r="Q24" s="23">
        <v>649636</v>
      </c>
      <c r="R24" s="23">
        <v>701971</v>
      </c>
    </row>
    <row r="25" spans="1:18" ht="12.5" thickBot="1">
      <c r="A25" s="32" t="s">
        <v>47</v>
      </c>
      <c r="B25" s="32" t="s">
        <v>133</v>
      </c>
      <c r="C25" s="24">
        <v>971826</v>
      </c>
      <c r="D25" s="24">
        <v>1059684</v>
      </c>
      <c r="E25" s="24">
        <v>911658</v>
      </c>
      <c r="F25" s="24">
        <v>788936</v>
      </c>
      <c r="G25" s="24">
        <v>1221026</v>
      </c>
      <c r="H25" s="24">
        <v>1051778</v>
      </c>
      <c r="I25" s="24">
        <v>927843</v>
      </c>
      <c r="J25" s="24">
        <v>1256310</v>
      </c>
      <c r="K25" s="24">
        <v>1054926</v>
      </c>
      <c r="L25" s="24">
        <v>1064203</v>
      </c>
      <c r="M25" s="24">
        <v>996220</v>
      </c>
      <c r="N25" s="24">
        <v>1189304</v>
      </c>
      <c r="O25" s="24">
        <v>1107321</v>
      </c>
      <c r="P25" s="24">
        <v>1114998</v>
      </c>
      <c r="Q25" s="24">
        <v>1239478</v>
      </c>
      <c r="R25" s="24">
        <v>1449270</v>
      </c>
    </row>
    <row r="26" spans="1:18" ht="12.5" thickBot="1">
      <c r="A26" s="31" t="s">
        <v>49</v>
      </c>
      <c r="B26" s="31" t="s">
        <v>135</v>
      </c>
      <c r="C26" s="25">
        <f t="shared" ref="C26:H26" si="2">SUM(C17:C25)</f>
        <v>52372267</v>
      </c>
      <c r="D26" s="25">
        <f t="shared" si="2"/>
        <v>53795965</v>
      </c>
      <c r="E26" s="25">
        <f t="shared" si="2"/>
        <v>55002263</v>
      </c>
      <c r="F26" s="25">
        <f t="shared" si="2"/>
        <v>54975003</v>
      </c>
      <c r="G26" s="25">
        <f t="shared" si="2"/>
        <v>58211815</v>
      </c>
      <c r="H26" s="25">
        <f t="shared" si="2"/>
        <v>62853515</v>
      </c>
      <c r="I26" s="25">
        <f t="shared" ref="I26:O26" si="3">SUM(I17:I25)</f>
        <v>58959445</v>
      </c>
      <c r="J26" s="25">
        <f t="shared" si="3"/>
        <v>59792091</v>
      </c>
      <c r="K26" s="25">
        <f t="shared" si="3"/>
        <v>58666229</v>
      </c>
      <c r="L26" s="25">
        <f t="shared" si="3"/>
        <v>59973048</v>
      </c>
      <c r="M26" s="25">
        <f t="shared" si="3"/>
        <v>60286162</v>
      </c>
      <c r="N26" s="25">
        <f t="shared" si="3"/>
        <v>61851582</v>
      </c>
      <c r="O26" s="25">
        <f t="shared" si="3"/>
        <v>61162389</v>
      </c>
      <c r="P26" s="25">
        <f>SUM(P17:P25)</f>
        <v>62149079</v>
      </c>
      <c r="Q26" s="25">
        <f>SUM(Q17:Q25)</f>
        <v>62873822</v>
      </c>
      <c r="R26" s="25">
        <f>SUM(R17:R25)</f>
        <v>63368816</v>
      </c>
    </row>
    <row r="27" spans="1:18">
      <c r="A27" s="36" t="s">
        <v>50</v>
      </c>
      <c r="B27" s="36" t="s">
        <v>136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>
      <c r="A28" s="32" t="s">
        <v>51</v>
      </c>
      <c r="B28" s="32" t="s">
        <v>137</v>
      </c>
      <c r="C28" s="24">
        <v>1213117</v>
      </c>
      <c r="D28" s="24">
        <v>1213117</v>
      </c>
      <c r="E28" s="24">
        <v>1213117</v>
      </c>
      <c r="F28" s="24">
        <v>1213117</v>
      </c>
      <c r="G28" s="24">
        <v>1213117</v>
      </c>
      <c r="H28" s="24">
        <v>1213117</v>
      </c>
      <c r="I28" s="24">
        <v>1213117</v>
      </c>
      <c r="J28" s="24">
        <v>1213117</v>
      </c>
      <c r="K28" s="24">
        <v>1213117</v>
      </c>
      <c r="L28" s="24">
        <v>1213117</v>
      </c>
      <c r="M28" s="24">
        <v>1213117</v>
      </c>
      <c r="N28" s="24">
        <v>1213117</v>
      </c>
      <c r="O28" s="24">
        <v>1213117</v>
      </c>
      <c r="P28" s="24">
        <v>1213117</v>
      </c>
      <c r="Q28" s="24">
        <v>1213117</v>
      </c>
      <c r="R28" s="24">
        <v>1213117</v>
      </c>
    </row>
    <row r="29" spans="1:18">
      <c r="A29" s="32" t="s">
        <v>52</v>
      </c>
      <c r="B29" s="32" t="s">
        <v>138</v>
      </c>
      <c r="C29" s="24">
        <v>1147502</v>
      </c>
      <c r="D29" s="24">
        <v>1147502</v>
      </c>
      <c r="E29" s="24">
        <v>1147502</v>
      </c>
      <c r="F29" s="24">
        <v>1147502</v>
      </c>
      <c r="G29" s="24">
        <v>1147502</v>
      </c>
      <c r="H29" s="24">
        <v>1147502</v>
      </c>
      <c r="I29" s="24">
        <v>1147502</v>
      </c>
      <c r="J29" s="24">
        <v>1147502</v>
      </c>
      <c r="K29" s="24">
        <v>1147502</v>
      </c>
      <c r="L29" s="24">
        <v>1147502</v>
      </c>
      <c r="M29" s="24">
        <v>1147502</v>
      </c>
      <c r="N29" s="24">
        <v>1147502</v>
      </c>
      <c r="O29" s="24">
        <v>1147502</v>
      </c>
      <c r="P29" s="24">
        <v>1147502</v>
      </c>
      <c r="Q29" s="24">
        <v>1147502</v>
      </c>
      <c r="R29" s="24">
        <v>1147502</v>
      </c>
    </row>
    <row r="30" spans="1:18">
      <c r="A30" s="32" t="s">
        <v>53</v>
      </c>
      <c r="B30" s="32" t="s">
        <v>139</v>
      </c>
      <c r="C30" s="24">
        <v>-136457</v>
      </c>
      <c r="D30" s="60">
        <v>-112576</v>
      </c>
      <c r="E30" s="60">
        <v>-64719</v>
      </c>
      <c r="F30" s="60">
        <v>-112911</v>
      </c>
      <c r="G30" s="60">
        <v>-198549</v>
      </c>
      <c r="H30" s="60">
        <v>-182889</v>
      </c>
      <c r="I30" s="60">
        <v>-225182</v>
      </c>
      <c r="J30" s="24">
        <v>18250</v>
      </c>
      <c r="K30" s="24">
        <v>87600</v>
      </c>
      <c r="L30" s="24">
        <v>-133214</v>
      </c>
      <c r="M30" s="24">
        <v>-142782</v>
      </c>
      <c r="N30" s="24">
        <v>-184962</v>
      </c>
      <c r="O30" s="24">
        <v>-123135</v>
      </c>
      <c r="P30" s="24">
        <v>-100495</v>
      </c>
      <c r="Q30" s="24">
        <v>-33693</v>
      </c>
      <c r="R30" s="24">
        <v>-34795</v>
      </c>
    </row>
    <row r="31" spans="1:18">
      <c r="A31" s="32" t="s">
        <v>54</v>
      </c>
      <c r="B31" s="32" t="s">
        <v>140</v>
      </c>
      <c r="C31" s="24">
        <v>3290185</v>
      </c>
      <c r="D31" s="24">
        <v>3186915</v>
      </c>
      <c r="E31" s="24">
        <v>3360099</v>
      </c>
      <c r="F31" s="24">
        <v>3517771</v>
      </c>
      <c r="G31" s="24">
        <v>3680340</v>
      </c>
      <c r="H31" s="24">
        <v>3845578</v>
      </c>
      <c r="I31" s="24">
        <v>4011253</v>
      </c>
      <c r="J31" s="24">
        <v>4064296</v>
      </c>
      <c r="K31" s="24">
        <v>4201481</v>
      </c>
      <c r="L31" s="24">
        <v>4495245</v>
      </c>
      <c r="M31" s="24">
        <v>4634057</v>
      </c>
      <c r="N31" s="24">
        <v>4765548</v>
      </c>
      <c r="O31" s="24">
        <v>4906046</v>
      </c>
      <c r="P31" s="24">
        <v>5079644</v>
      </c>
      <c r="Q31" s="24">
        <v>5267128</v>
      </c>
      <c r="R31" s="24">
        <v>5446775</v>
      </c>
    </row>
    <row r="32" spans="1:18" ht="24">
      <c r="A32" s="32" t="s">
        <v>55</v>
      </c>
      <c r="B32" s="32" t="s">
        <v>141</v>
      </c>
      <c r="C32" s="24">
        <v>5514347</v>
      </c>
      <c r="D32" s="24">
        <f>+D31+D30+D29+D28</f>
        <v>5434958</v>
      </c>
      <c r="E32" s="24">
        <v>5655999</v>
      </c>
      <c r="F32" s="24">
        <f t="shared" ref="F32:L32" si="4">SUM(F28:F31)</f>
        <v>5765479</v>
      </c>
      <c r="G32" s="24">
        <f t="shared" si="4"/>
        <v>5842410</v>
      </c>
      <c r="H32" s="24">
        <f t="shared" si="4"/>
        <v>6023308</v>
      </c>
      <c r="I32" s="24">
        <f t="shared" si="4"/>
        <v>6146690</v>
      </c>
      <c r="J32" s="24">
        <f t="shared" si="4"/>
        <v>6443165</v>
      </c>
      <c r="K32" s="24">
        <f t="shared" si="4"/>
        <v>6649700</v>
      </c>
      <c r="L32" s="24">
        <f t="shared" si="4"/>
        <v>6722650</v>
      </c>
      <c r="M32" s="24">
        <v>6851894</v>
      </c>
      <c r="N32" s="24">
        <v>6941205</v>
      </c>
      <c r="O32" s="24">
        <v>7143530</v>
      </c>
      <c r="P32" s="24">
        <v>7339768</v>
      </c>
      <c r="Q32" s="24">
        <v>7594054</v>
      </c>
      <c r="R32" s="24">
        <f>SUM(R28:R31)</f>
        <v>7772599</v>
      </c>
    </row>
    <row r="33" spans="1:18" ht="16.399999999999999" customHeight="1" thickBot="1">
      <c r="A33" s="32" t="s">
        <v>19</v>
      </c>
      <c r="B33" s="32" t="s">
        <v>142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</row>
    <row r="34" spans="1:18" ht="12.5" thickBot="1">
      <c r="A34" s="31" t="s">
        <v>56</v>
      </c>
      <c r="B34" s="31" t="s">
        <v>143</v>
      </c>
      <c r="C34" s="25">
        <f t="shared" ref="C34:H34" si="5">+C33+C32</f>
        <v>5514347</v>
      </c>
      <c r="D34" s="25">
        <f t="shared" si="5"/>
        <v>5434958</v>
      </c>
      <c r="E34" s="25">
        <f t="shared" si="5"/>
        <v>5655999</v>
      </c>
      <c r="F34" s="25">
        <f t="shared" si="5"/>
        <v>5765479</v>
      </c>
      <c r="G34" s="25">
        <f t="shared" si="5"/>
        <v>5842410</v>
      </c>
      <c r="H34" s="25">
        <f t="shared" si="5"/>
        <v>6023308</v>
      </c>
      <c r="I34" s="25">
        <f t="shared" ref="I34:O34" si="6">+I33+I32</f>
        <v>6146690</v>
      </c>
      <c r="J34" s="25">
        <f t="shared" si="6"/>
        <v>6443165</v>
      </c>
      <c r="K34" s="25">
        <f t="shared" si="6"/>
        <v>6649700</v>
      </c>
      <c r="L34" s="25">
        <f t="shared" si="6"/>
        <v>6722650</v>
      </c>
      <c r="M34" s="25">
        <f t="shared" si="6"/>
        <v>6851894</v>
      </c>
      <c r="N34" s="25">
        <f t="shared" si="6"/>
        <v>6941205</v>
      </c>
      <c r="O34" s="25">
        <f t="shared" si="6"/>
        <v>7143530</v>
      </c>
      <c r="P34" s="25">
        <f>+P33+P32</f>
        <v>7339768</v>
      </c>
      <c r="Q34" s="25">
        <f>+Q33+Q32</f>
        <v>7594054</v>
      </c>
      <c r="R34" s="25">
        <f>+R33+R32</f>
        <v>7772599</v>
      </c>
    </row>
    <row r="35" spans="1:18" ht="12.5" thickBot="1">
      <c r="A35" s="31" t="s">
        <v>57</v>
      </c>
      <c r="B35" s="31" t="s">
        <v>144</v>
      </c>
      <c r="C35" s="21">
        <f t="shared" ref="C35:H35" si="7">+C34+C26</f>
        <v>57886614</v>
      </c>
      <c r="D35" s="21">
        <f t="shared" si="7"/>
        <v>59230923</v>
      </c>
      <c r="E35" s="21">
        <f t="shared" si="7"/>
        <v>60658262</v>
      </c>
      <c r="F35" s="21">
        <f t="shared" si="7"/>
        <v>60740482</v>
      </c>
      <c r="G35" s="21">
        <f t="shared" si="7"/>
        <v>64054225</v>
      </c>
      <c r="H35" s="21">
        <f t="shared" si="7"/>
        <v>68876823</v>
      </c>
      <c r="I35" s="21">
        <f t="shared" ref="I35:O35" si="8">+I34+I26</f>
        <v>65106135</v>
      </c>
      <c r="J35" s="21">
        <f t="shared" si="8"/>
        <v>66235256</v>
      </c>
      <c r="K35" s="21">
        <f t="shared" si="8"/>
        <v>65315929</v>
      </c>
      <c r="L35" s="21">
        <f t="shared" si="8"/>
        <v>66695698</v>
      </c>
      <c r="M35" s="21">
        <f t="shared" si="8"/>
        <v>67138056</v>
      </c>
      <c r="N35" s="21">
        <f t="shared" si="8"/>
        <v>68792787</v>
      </c>
      <c r="O35" s="21">
        <f t="shared" si="8"/>
        <v>68305919</v>
      </c>
      <c r="P35" s="21">
        <f>+P34+P26</f>
        <v>69488847</v>
      </c>
      <c r="Q35" s="21">
        <f>+Q34+Q26</f>
        <v>70467876</v>
      </c>
      <c r="R35" s="21">
        <f>+R34+R26</f>
        <v>71141415</v>
      </c>
    </row>
    <row r="36" spans="1:18">
      <c r="L36" s="28"/>
      <c r="M36" s="28"/>
      <c r="N36" s="28"/>
      <c r="O36" s="28"/>
      <c r="P36" s="28"/>
      <c r="Q36" s="28"/>
      <c r="R36" s="28"/>
    </row>
    <row r="37" spans="1:18">
      <c r="L37" s="28"/>
      <c r="M37" s="28"/>
      <c r="N37" s="28"/>
      <c r="O37" s="28"/>
      <c r="P37" s="28"/>
      <c r="Q37" s="28"/>
      <c r="R37" s="28"/>
    </row>
    <row r="38" spans="1:18">
      <c r="L38" s="28"/>
      <c r="M38" s="28"/>
      <c r="N38" s="28"/>
      <c r="O38" s="28"/>
      <c r="P38" s="28"/>
      <c r="Q38" s="28"/>
      <c r="R38" s="28"/>
    </row>
    <row r="39" spans="1:18">
      <c r="L39" s="28"/>
      <c r="M39" s="28"/>
      <c r="N39" s="28"/>
      <c r="O39" s="28"/>
      <c r="P39" s="28"/>
      <c r="Q39" s="28"/>
      <c r="R39" s="28"/>
    </row>
    <row r="40" spans="1:18">
      <c r="L40" s="28"/>
      <c r="M40" s="28"/>
      <c r="N40" s="28"/>
      <c r="O40" s="28"/>
      <c r="P40" s="28"/>
      <c r="Q40" s="28"/>
      <c r="R40" s="28"/>
    </row>
    <row r="43" spans="1:18">
      <c r="L43" s="28"/>
      <c r="M43" s="28"/>
      <c r="N43" s="28"/>
      <c r="O43" s="28"/>
      <c r="P43" s="28"/>
      <c r="Q43" s="28"/>
      <c r="R43" s="28"/>
    </row>
  </sheetData>
  <pageMargins left="0.51181102362204722" right="0.51181102362204722" top="0.55118110236220474" bottom="0.55118110236220474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66"/>
  <sheetViews>
    <sheetView zoomScale="80" zoomScaleNormal="80" workbookViewId="0">
      <pane xSplit="2" ySplit="4" topLeftCell="W5" activePane="bottomRight" state="frozenSplit"/>
      <selection pane="topRight" activeCell="C1" sqref="C1"/>
      <selection pane="bottomLeft" activeCell="A4" sqref="A4"/>
      <selection pane="bottomRight" activeCell="A2" sqref="A2"/>
    </sheetView>
  </sheetViews>
  <sheetFormatPr defaultRowHeight="14.5" outlineLevelCol="1"/>
  <cols>
    <col min="1" max="1" width="35.75" style="98" customWidth="1"/>
    <col min="2" max="2" width="45.6640625" style="98" customWidth="1"/>
    <col min="3" max="3" width="10.75" style="98" hidden="1" customWidth="1" outlineLevel="1"/>
    <col min="4" max="4" width="11.08203125" style="98" hidden="1" customWidth="1" outlineLevel="1"/>
    <col min="5" max="7" width="10.75" style="98" hidden="1" customWidth="1" outlineLevel="1"/>
    <col min="8" max="8" width="10.75" style="98" customWidth="1" collapsed="1"/>
    <col min="9" max="9" width="10.33203125" style="98" customWidth="1"/>
    <col min="10" max="15" width="10.75" style="98" customWidth="1"/>
    <col min="16" max="19" width="11.75" style="98" customWidth="1"/>
    <col min="20" max="25" width="11.75" customWidth="1"/>
    <col min="26" max="26" width="11.08203125" style="98" customWidth="1"/>
    <col min="27" max="27" width="10.75" style="98" customWidth="1"/>
    <col min="28" max="28" width="10.75" customWidth="1"/>
    <col min="29" max="29" width="16.75" customWidth="1"/>
    <col min="30" max="34" width="10.75" customWidth="1"/>
    <col min="35" max="35" width="4.25" customWidth="1"/>
    <col min="36" max="36" width="7.08203125" customWidth="1"/>
  </cols>
  <sheetData>
    <row r="1" spans="1:42" ht="15.5">
      <c r="A1" s="101" t="s">
        <v>359</v>
      </c>
      <c r="G1"/>
      <c r="H1"/>
      <c r="I1"/>
      <c r="J1"/>
      <c r="K1"/>
      <c r="L1"/>
      <c r="M1"/>
      <c r="AM1" s="132"/>
      <c r="AN1" s="132"/>
    </row>
    <row r="2" spans="1:42" ht="15.5">
      <c r="A2" s="101" t="s">
        <v>479</v>
      </c>
      <c r="B2" s="99"/>
      <c r="C2" s="99"/>
      <c r="D2" s="99"/>
      <c r="E2" s="99"/>
      <c r="G2"/>
      <c r="H2"/>
      <c r="I2"/>
      <c r="J2"/>
      <c r="K2"/>
      <c r="L2"/>
      <c r="M2"/>
      <c r="AM2" s="132"/>
      <c r="AN2" s="132"/>
    </row>
    <row r="3" spans="1:42" s="194" customFormat="1">
      <c r="A3" s="171" t="s">
        <v>497</v>
      </c>
      <c r="B3" s="171" t="s">
        <v>172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193"/>
      <c r="AA3" s="193"/>
      <c r="AM3" s="195"/>
      <c r="AN3" s="195"/>
    </row>
    <row r="4" spans="1:42" s="194" customFormat="1" ht="24">
      <c r="A4" s="192" t="s">
        <v>386</v>
      </c>
      <c r="B4" s="192" t="s">
        <v>475</v>
      </c>
      <c r="C4" s="192"/>
      <c r="D4" s="188" t="s">
        <v>262</v>
      </c>
      <c r="E4" s="188" t="s">
        <v>273</v>
      </c>
      <c r="F4" s="188" t="s">
        <v>276</v>
      </c>
      <c r="G4" s="188" t="s">
        <v>358</v>
      </c>
      <c r="H4" s="188" t="s">
        <v>285</v>
      </c>
      <c r="I4" s="188" t="s">
        <v>364</v>
      </c>
      <c r="J4" s="188" t="s">
        <v>403</v>
      </c>
      <c r="K4" s="188" t="s">
        <v>408</v>
      </c>
      <c r="L4" s="188" t="s">
        <v>412</v>
      </c>
      <c r="M4" s="188" t="s">
        <v>423</v>
      </c>
      <c r="N4" s="188" t="s">
        <v>428</v>
      </c>
      <c r="O4" s="188" t="s">
        <v>434</v>
      </c>
      <c r="P4" s="254" t="s">
        <v>510</v>
      </c>
      <c r="Q4" s="254" t="s">
        <v>590</v>
      </c>
      <c r="R4" s="254" t="s">
        <v>596</v>
      </c>
      <c r="S4" s="254" t="s">
        <v>607</v>
      </c>
      <c r="T4" s="254" t="s">
        <v>612</v>
      </c>
      <c r="U4" s="254" t="s">
        <v>617</v>
      </c>
      <c r="V4" s="254" t="s">
        <v>629</v>
      </c>
      <c r="W4" s="254" t="s">
        <v>636</v>
      </c>
      <c r="X4" s="254" t="s">
        <v>643</v>
      </c>
      <c r="Y4" s="254" t="s">
        <v>651</v>
      </c>
      <c r="Z4" s="193"/>
      <c r="AA4" s="193"/>
      <c r="AB4" s="193"/>
      <c r="AC4" s="193"/>
      <c r="AO4" s="195"/>
      <c r="AP4" s="195"/>
    </row>
    <row r="5" spans="1:42" ht="24.5" thickBot="1">
      <c r="A5" s="139" t="s">
        <v>379</v>
      </c>
      <c r="B5" s="120" t="s">
        <v>370</v>
      </c>
      <c r="C5" s="120"/>
      <c r="D5" s="138">
        <f t="shared" ref="D5:Y5" si="0">+D6</f>
        <v>81289</v>
      </c>
      <c r="E5" s="138">
        <f t="shared" si="0"/>
        <v>79460</v>
      </c>
      <c r="F5" s="138">
        <f t="shared" si="0"/>
        <v>84785</v>
      </c>
      <c r="G5" s="138">
        <f t="shared" si="0"/>
        <v>82616</v>
      </c>
      <c r="H5" s="138">
        <f t="shared" si="0"/>
        <v>88336</v>
      </c>
      <c r="I5" s="138">
        <f t="shared" si="0"/>
        <v>85846</v>
      </c>
      <c r="J5" s="138">
        <f t="shared" si="0"/>
        <v>83353</v>
      </c>
      <c r="K5" s="138">
        <f t="shared" si="0"/>
        <v>94862</v>
      </c>
      <c r="L5" s="138">
        <f t="shared" si="0"/>
        <v>105093</v>
      </c>
      <c r="M5" s="138">
        <f t="shared" si="0"/>
        <v>94020</v>
      </c>
      <c r="N5" s="138">
        <f t="shared" si="0"/>
        <v>94659</v>
      </c>
      <c r="O5" s="138">
        <f t="shared" si="0"/>
        <v>100961</v>
      </c>
      <c r="P5" s="138">
        <f t="shared" si="0"/>
        <v>102120</v>
      </c>
      <c r="Q5" s="138">
        <f t="shared" si="0"/>
        <v>93890</v>
      </c>
      <c r="R5" s="138">
        <f t="shared" si="0"/>
        <v>68191</v>
      </c>
      <c r="S5" s="138">
        <f t="shared" si="0"/>
        <v>49251</v>
      </c>
      <c r="T5" s="138">
        <f t="shared" si="0"/>
        <v>37009</v>
      </c>
      <c r="U5" s="138">
        <f t="shared" si="0"/>
        <v>36466</v>
      </c>
      <c r="V5" s="138">
        <f t="shared" si="0"/>
        <v>33350</v>
      </c>
      <c r="W5" s="138">
        <f t="shared" si="0"/>
        <v>50729</v>
      </c>
      <c r="X5" s="138">
        <f t="shared" si="0"/>
        <v>81986</v>
      </c>
      <c r="Y5" s="138">
        <f t="shared" si="0"/>
        <v>115984</v>
      </c>
      <c r="AB5" s="98"/>
      <c r="AC5" s="98"/>
      <c r="AO5" s="132"/>
      <c r="AP5" s="132"/>
    </row>
    <row r="6" spans="1:42" ht="15" thickBot="1">
      <c r="A6" s="134" t="s">
        <v>45</v>
      </c>
      <c r="B6" s="123" t="s">
        <v>321</v>
      </c>
      <c r="C6" s="123"/>
      <c r="D6" s="140">
        <v>81289</v>
      </c>
      <c r="E6" s="140">
        <v>79460</v>
      </c>
      <c r="F6" s="140">
        <v>84785</v>
      </c>
      <c r="G6" s="140">
        <v>82616</v>
      </c>
      <c r="H6" s="140">
        <v>88336</v>
      </c>
      <c r="I6" s="140">
        <v>85846</v>
      </c>
      <c r="J6" s="140">
        <f>+J38-I38</f>
        <v>83353</v>
      </c>
      <c r="K6" s="140">
        <f>+K38-J38</f>
        <v>94862</v>
      </c>
      <c r="L6" s="140">
        <f>+L38</f>
        <v>105093</v>
      </c>
      <c r="M6" s="140">
        <f>+M38-L6</f>
        <v>94020</v>
      </c>
      <c r="N6" s="140">
        <f>+N38-M38</f>
        <v>94659</v>
      </c>
      <c r="O6" s="140">
        <f>+O38-N38</f>
        <v>100961</v>
      </c>
      <c r="P6" s="140">
        <f>+P38</f>
        <v>102120</v>
      </c>
      <c r="Q6" s="140">
        <f>+Q38-P38</f>
        <v>93890</v>
      </c>
      <c r="R6" s="140">
        <f>+R38-Q38</f>
        <v>68191</v>
      </c>
      <c r="S6" s="140">
        <f>+S38-R38</f>
        <v>49251</v>
      </c>
      <c r="T6" s="140">
        <f>+T38</f>
        <v>37009</v>
      </c>
      <c r="U6" s="140">
        <f>+U38-T38</f>
        <v>36466</v>
      </c>
      <c r="V6" s="140">
        <f>+V38-U38</f>
        <v>33350</v>
      </c>
      <c r="W6" s="140">
        <f>+W38-V38</f>
        <v>50729</v>
      </c>
      <c r="X6" s="140">
        <f>+X38</f>
        <v>81986</v>
      </c>
      <c r="Y6" s="140">
        <f>+Y38-X38</f>
        <v>115984</v>
      </c>
      <c r="AB6" s="98"/>
      <c r="AC6" s="98"/>
      <c r="AO6" s="132"/>
      <c r="AP6" s="132"/>
    </row>
    <row r="7" spans="1:42" ht="24.5" thickBot="1">
      <c r="A7" s="139" t="s">
        <v>380</v>
      </c>
      <c r="B7" s="120" t="s">
        <v>371</v>
      </c>
      <c r="C7" s="120"/>
      <c r="D7" s="138">
        <f>+D8+D9+D10+D11+D12+D13</f>
        <v>492984</v>
      </c>
      <c r="E7" s="138">
        <f t="shared" ref="E7:Y7" si="1">+E8+E9+E10+E11+E12+E13</f>
        <v>511542</v>
      </c>
      <c r="F7" s="138">
        <f t="shared" si="1"/>
        <v>526480</v>
      </c>
      <c r="G7" s="138">
        <f t="shared" si="1"/>
        <v>530193</v>
      </c>
      <c r="H7" s="138">
        <f t="shared" si="1"/>
        <v>493873</v>
      </c>
      <c r="I7" s="138">
        <f t="shared" si="1"/>
        <v>510110</v>
      </c>
      <c r="J7" s="138">
        <f t="shared" si="1"/>
        <v>533648</v>
      </c>
      <c r="K7" s="138">
        <f t="shared" si="1"/>
        <v>555227</v>
      </c>
      <c r="L7" s="138">
        <f t="shared" si="1"/>
        <v>558697</v>
      </c>
      <c r="M7" s="138">
        <f t="shared" si="1"/>
        <v>669088</v>
      </c>
      <c r="N7" s="138">
        <f t="shared" si="1"/>
        <v>812995</v>
      </c>
      <c r="O7" s="138">
        <f t="shared" si="1"/>
        <v>812127</v>
      </c>
      <c r="P7" s="138">
        <f t="shared" si="1"/>
        <v>793067</v>
      </c>
      <c r="Q7" s="138">
        <f t="shared" si="1"/>
        <v>701332</v>
      </c>
      <c r="R7" s="138">
        <f t="shared" si="1"/>
        <v>612538</v>
      </c>
      <c r="S7" s="138">
        <f t="shared" si="1"/>
        <v>597735</v>
      </c>
      <c r="T7" s="138">
        <f t="shared" si="1"/>
        <v>598294</v>
      </c>
      <c r="U7" s="138">
        <f t="shared" si="1"/>
        <v>627071</v>
      </c>
      <c r="V7" s="138">
        <f t="shared" si="1"/>
        <v>645549</v>
      </c>
      <c r="W7" s="138">
        <f t="shared" si="1"/>
        <v>749737</v>
      </c>
      <c r="X7" s="138">
        <f t="shared" si="1"/>
        <v>983668</v>
      </c>
      <c r="Y7" s="138">
        <f t="shared" si="1"/>
        <v>1401000</v>
      </c>
      <c r="AB7" s="98"/>
      <c r="AC7" s="98"/>
      <c r="AO7" s="132"/>
      <c r="AP7" s="132"/>
    </row>
    <row r="8" spans="1:42" ht="15" thickBot="1">
      <c r="A8" s="134" t="s">
        <v>360</v>
      </c>
      <c r="B8" s="123" t="s">
        <v>372</v>
      </c>
      <c r="C8" s="123"/>
      <c r="D8" s="140">
        <v>6492</v>
      </c>
      <c r="E8" s="140">
        <v>6815</v>
      </c>
      <c r="F8" s="140">
        <v>7060</v>
      </c>
      <c r="G8" s="140">
        <v>6855</v>
      </c>
      <c r="H8" s="140">
        <v>2589</v>
      </c>
      <c r="I8" s="140">
        <v>2618</v>
      </c>
      <c r="J8" s="140">
        <f t="shared" ref="J8:K13" si="2">+J40-I40</f>
        <v>2622</v>
      </c>
      <c r="K8" s="140">
        <f t="shared" si="2"/>
        <v>2699</v>
      </c>
      <c r="L8" s="140">
        <f t="shared" ref="L8:L13" si="3">+L40</f>
        <v>2860</v>
      </c>
      <c r="M8" s="140">
        <f t="shared" ref="M8:M13" si="4">+M40-L8</f>
        <v>3078</v>
      </c>
      <c r="N8" s="140">
        <f t="shared" ref="N8:O13" si="5">+N40-M40</f>
        <v>3342</v>
      </c>
      <c r="O8" s="140">
        <f t="shared" si="5"/>
        <v>3499</v>
      </c>
      <c r="P8" s="140">
        <f t="shared" ref="P8:P13" si="6">+P40</f>
        <v>3637</v>
      </c>
      <c r="Q8" s="140">
        <f t="shared" ref="Q8:S13" si="7">+Q40-P40</f>
        <v>1432</v>
      </c>
      <c r="R8" s="140">
        <f t="shared" si="7"/>
        <v>79</v>
      </c>
      <c r="S8" s="140">
        <f t="shared" si="7"/>
        <v>104</v>
      </c>
      <c r="T8" s="140">
        <f t="shared" ref="T8:T13" si="8">+T40</f>
        <v>100</v>
      </c>
      <c r="U8" s="140">
        <f t="shared" ref="U8:W13" si="9">+U40-T40</f>
        <v>106</v>
      </c>
      <c r="V8" s="140">
        <f t="shared" si="9"/>
        <v>109</v>
      </c>
      <c r="W8" s="140">
        <f t="shared" si="9"/>
        <v>3438</v>
      </c>
      <c r="X8" s="140">
        <f t="shared" ref="X8:X13" si="10">+X40</f>
        <v>12837</v>
      </c>
      <c r="Y8" s="140">
        <f t="shared" ref="Y8:Y13" si="11">+Y40-X40</f>
        <v>41311</v>
      </c>
      <c r="AB8" s="98"/>
      <c r="AC8" s="98"/>
      <c r="AO8" s="132"/>
      <c r="AP8" s="132"/>
    </row>
    <row r="9" spans="1:42" ht="15" thickBot="1">
      <c r="A9" s="134" t="s">
        <v>35</v>
      </c>
      <c r="B9" s="123" t="s">
        <v>324</v>
      </c>
      <c r="C9" s="123"/>
      <c r="D9" s="140">
        <v>406659</v>
      </c>
      <c r="E9" s="140">
        <v>423463</v>
      </c>
      <c r="F9" s="140">
        <v>440855</v>
      </c>
      <c r="G9" s="140">
        <v>448449</v>
      </c>
      <c r="H9" s="140">
        <v>421510</v>
      </c>
      <c r="I9" s="140">
        <v>441297</v>
      </c>
      <c r="J9" s="140">
        <f t="shared" si="2"/>
        <v>461593</v>
      </c>
      <c r="K9" s="140">
        <f t="shared" si="2"/>
        <v>482604</v>
      </c>
      <c r="L9" s="140">
        <f t="shared" si="3"/>
        <v>488624</v>
      </c>
      <c r="M9" s="140">
        <f t="shared" si="4"/>
        <v>590783</v>
      </c>
      <c r="N9" s="140">
        <f t="shared" si="5"/>
        <v>737234</v>
      </c>
      <c r="O9" s="140">
        <f t="shared" si="5"/>
        <v>736406</v>
      </c>
      <c r="P9" s="140">
        <f t="shared" si="6"/>
        <v>718199</v>
      </c>
      <c r="Q9" s="140">
        <f t="shared" si="7"/>
        <v>645409</v>
      </c>
      <c r="R9" s="140">
        <f t="shared" si="7"/>
        <v>578781</v>
      </c>
      <c r="S9" s="140">
        <f t="shared" si="7"/>
        <v>570021</v>
      </c>
      <c r="T9" s="140">
        <f t="shared" si="8"/>
        <v>569973</v>
      </c>
      <c r="U9" s="140">
        <f t="shared" si="9"/>
        <v>601896</v>
      </c>
      <c r="V9" s="140">
        <f t="shared" si="9"/>
        <v>621981</v>
      </c>
      <c r="W9" s="140">
        <f t="shared" si="9"/>
        <v>718016</v>
      </c>
      <c r="X9" s="140">
        <f t="shared" si="10"/>
        <v>938577</v>
      </c>
      <c r="Y9" s="140">
        <f t="shared" si="11"/>
        <v>1294208</v>
      </c>
      <c r="AB9" s="98"/>
      <c r="AC9" s="98"/>
      <c r="AO9" s="132"/>
      <c r="AP9" s="132"/>
    </row>
    <row r="10" spans="1:42" ht="15" thickBot="1">
      <c r="A10" s="134" t="s">
        <v>45</v>
      </c>
      <c r="B10" s="123" t="s">
        <v>321</v>
      </c>
      <c r="C10" s="123"/>
      <c r="D10" s="140">
        <v>0</v>
      </c>
      <c r="E10" s="140">
        <v>0</v>
      </c>
      <c r="F10" s="140">
        <v>0</v>
      </c>
      <c r="G10" s="140">
        <v>0</v>
      </c>
      <c r="H10" s="140">
        <v>364</v>
      </c>
      <c r="I10" s="140">
        <v>367</v>
      </c>
      <c r="J10" s="140">
        <f t="shared" si="2"/>
        <v>381</v>
      </c>
      <c r="K10" s="140">
        <f t="shared" si="2"/>
        <v>381</v>
      </c>
      <c r="L10" s="140">
        <f t="shared" si="3"/>
        <v>344</v>
      </c>
      <c r="M10" s="140">
        <f t="shared" si="4"/>
        <v>345</v>
      </c>
      <c r="N10" s="140">
        <f t="shared" si="5"/>
        <v>429</v>
      </c>
      <c r="O10" s="140">
        <f t="shared" si="5"/>
        <v>410</v>
      </c>
      <c r="P10" s="140">
        <f t="shared" si="6"/>
        <v>371</v>
      </c>
      <c r="Q10" s="140">
        <f t="shared" si="7"/>
        <v>340</v>
      </c>
      <c r="R10" s="140">
        <f t="shared" si="7"/>
        <v>187</v>
      </c>
      <c r="S10" s="140">
        <f t="shared" si="7"/>
        <v>167</v>
      </c>
      <c r="T10" s="140">
        <f t="shared" si="8"/>
        <v>151</v>
      </c>
      <c r="U10" s="140">
        <f t="shared" si="9"/>
        <v>150</v>
      </c>
      <c r="V10" s="140">
        <f t="shared" si="9"/>
        <v>148</v>
      </c>
      <c r="W10" s="140">
        <f t="shared" si="9"/>
        <v>171</v>
      </c>
      <c r="X10" s="140">
        <f t="shared" si="10"/>
        <v>345</v>
      </c>
      <c r="Y10" s="140">
        <f t="shared" si="11"/>
        <v>19283</v>
      </c>
      <c r="AB10" s="98"/>
      <c r="AC10" s="98"/>
      <c r="AO10" s="132"/>
      <c r="AP10" s="132"/>
    </row>
    <row r="11" spans="1:42" ht="24.5" thickBot="1">
      <c r="A11" s="134" t="s">
        <v>361</v>
      </c>
      <c r="B11" s="123" t="s">
        <v>373</v>
      </c>
      <c r="C11" s="123"/>
      <c r="D11" s="140">
        <v>151</v>
      </c>
      <c r="E11" s="140">
        <v>469</v>
      </c>
      <c r="F11" s="140">
        <v>226</v>
      </c>
      <c r="G11" s="140">
        <v>713</v>
      </c>
      <c r="H11" s="140">
        <v>537</v>
      </c>
      <c r="I11" s="140">
        <v>322</v>
      </c>
      <c r="J11" s="140">
        <f t="shared" si="2"/>
        <v>277</v>
      </c>
      <c r="K11" s="140">
        <f t="shared" si="2"/>
        <v>644</v>
      </c>
      <c r="L11" s="140">
        <f t="shared" si="3"/>
        <v>460</v>
      </c>
      <c r="M11" s="140">
        <f t="shared" si="4"/>
        <v>1473</v>
      </c>
      <c r="N11" s="140">
        <f t="shared" si="5"/>
        <v>541</v>
      </c>
      <c r="O11" s="140">
        <f t="shared" si="5"/>
        <v>559</v>
      </c>
      <c r="P11" s="140">
        <f t="shared" si="6"/>
        <v>522</v>
      </c>
      <c r="Q11" s="140">
        <f t="shared" si="7"/>
        <v>50</v>
      </c>
      <c r="R11" s="140">
        <f t="shared" si="7"/>
        <v>210</v>
      </c>
      <c r="S11" s="140">
        <f t="shared" si="7"/>
        <v>11</v>
      </c>
      <c r="T11" s="140">
        <f t="shared" si="8"/>
        <v>15</v>
      </c>
      <c r="U11" s="140">
        <f t="shared" si="9"/>
        <v>-71</v>
      </c>
      <c r="V11" s="140">
        <f t="shared" si="9"/>
        <v>-53</v>
      </c>
      <c r="W11" s="140">
        <f t="shared" si="9"/>
        <v>396</v>
      </c>
      <c r="X11" s="140">
        <f t="shared" si="10"/>
        <v>2269</v>
      </c>
      <c r="Y11" s="140">
        <f t="shared" si="11"/>
        <v>4511</v>
      </c>
      <c r="AB11" s="98"/>
      <c r="AC11" s="98"/>
    </row>
    <row r="12" spans="1:42" ht="15" thickBot="1">
      <c r="A12" s="134" t="s">
        <v>381</v>
      </c>
      <c r="B12" s="123" t="s">
        <v>374</v>
      </c>
      <c r="C12" s="123"/>
      <c r="D12" s="140">
        <v>1895</v>
      </c>
      <c r="E12" s="140">
        <v>2078</v>
      </c>
      <c r="F12" s="140">
        <v>1778</v>
      </c>
      <c r="G12" s="140">
        <v>1267</v>
      </c>
      <c r="H12" s="140">
        <v>939</v>
      </c>
      <c r="I12" s="140">
        <v>1357</v>
      </c>
      <c r="J12" s="140">
        <f t="shared" si="2"/>
        <v>1974</v>
      </c>
      <c r="K12" s="140">
        <f t="shared" si="2"/>
        <v>1315</v>
      </c>
      <c r="L12" s="140">
        <f t="shared" si="3"/>
        <v>1544</v>
      </c>
      <c r="M12" s="140">
        <f t="shared" si="4"/>
        <v>6203</v>
      </c>
      <c r="N12" s="140">
        <f t="shared" si="5"/>
        <v>2645</v>
      </c>
      <c r="O12" s="140">
        <f t="shared" si="5"/>
        <v>2226</v>
      </c>
      <c r="P12" s="140">
        <f t="shared" si="6"/>
        <v>5925</v>
      </c>
      <c r="Q12" s="140">
        <f t="shared" si="7"/>
        <v>514</v>
      </c>
      <c r="R12" s="140">
        <f t="shared" si="7"/>
        <v>-2</v>
      </c>
      <c r="S12" s="140">
        <f t="shared" si="7"/>
        <v>-1</v>
      </c>
      <c r="T12" s="140">
        <f t="shared" si="8"/>
        <v>0</v>
      </c>
      <c r="U12" s="140">
        <f t="shared" si="9"/>
        <v>0</v>
      </c>
      <c r="V12" s="140">
        <f t="shared" si="9"/>
        <v>0</v>
      </c>
      <c r="W12" s="140">
        <f t="shared" si="9"/>
        <v>461</v>
      </c>
      <c r="X12" s="140">
        <f t="shared" si="10"/>
        <v>3191</v>
      </c>
      <c r="Y12" s="140">
        <f t="shared" si="11"/>
        <v>5962</v>
      </c>
      <c r="AB12" s="98"/>
      <c r="AC12" s="98"/>
    </row>
    <row r="13" spans="1:42" ht="15" thickBot="1">
      <c r="A13" s="153" t="s">
        <v>34</v>
      </c>
      <c r="B13" s="156" t="s">
        <v>328</v>
      </c>
      <c r="C13" s="156"/>
      <c r="D13" s="154">
        <v>77787</v>
      </c>
      <c r="E13" s="154">
        <v>78717</v>
      </c>
      <c r="F13" s="154">
        <v>76561</v>
      </c>
      <c r="G13" s="154">
        <v>72909</v>
      </c>
      <c r="H13" s="154">
        <v>67934</v>
      </c>
      <c r="I13" s="154">
        <v>64149</v>
      </c>
      <c r="J13" s="154">
        <f t="shared" si="2"/>
        <v>66801</v>
      </c>
      <c r="K13" s="154">
        <f t="shared" si="2"/>
        <v>67584</v>
      </c>
      <c r="L13" s="154">
        <f t="shared" si="3"/>
        <v>64865</v>
      </c>
      <c r="M13" s="154">
        <f t="shared" si="4"/>
        <v>67206</v>
      </c>
      <c r="N13" s="154">
        <f t="shared" si="5"/>
        <v>68804</v>
      </c>
      <c r="O13" s="154">
        <f t="shared" si="5"/>
        <v>69027</v>
      </c>
      <c r="P13" s="140">
        <f t="shared" si="6"/>
        <v>64413</v>
      </c>
      <c r="Q13" s="140">
        <f t="shared" si="7"/>
        <v>53587</v>
      </c>
      <c r="R13" s="140">
        <f t="shared" si="7"/>
        <v>33283</v>
      </c>
      <c r="S13" s="140">
        <f t="shared" si="7"/>
        <v>27433</v>
      </c>
      <c r="T13" s="140">
        <f t="shared" si="8"/>
        <v>28055</v>
      </c>
      <c r="U13" s="140">
        <f t="shared" si="9"/>
        <v>24990</v>
      </c>
      <c r="V13" s="140">
        <f t="shared" si="9"/>
        <v>23364</v>
      </c>
      <c r="W13" s="140">
        <f t="shared" si="9"/>
        <v>27255</v>
      </c>
      <c r="X13" s="140">
        <f t="shared" si="10"/>
        <v>26449</v>
      </c>
      <c r="Y13" s="140">
        <f t="shared" si="11"/>
        <v>35725</v>
      </c>
      <c r="AB13" s="98"/>
      <c r="AC13" s="98"/>
    </row>
    <row r="14" spans="1:42" ht="15" thickBot="1">
      <c r="A14" s="139" t="s">
        <v>382</v>
      </c>
      <c r="B14" s="120" t="s">
        <v>375</v>
      </c>
      <c r="C14" s="120"/>
      <c r="D14" s="138">
        <f t="shared" ref="D14:G14" si="12">+D15+D17</f>
        <v>2077</v>
      </c>
      <c r="E14" s="138">
        <f t="shared" si="12"/>
        <v>2420</v>
      </c>
      <c r="F14" s="138">
        <f t="shared" si="12"/>
        <v>1987</v>
      </c>
      <c r="G14" s="138">
        <f t="shared" si="12"/>
        <v>3105</v>
      </c>
      <c r="H14" s="138">
        <f>+H15+H17+H16</f>
        <v>35788</v>
      </c>
      <c r="I14" s="138">
        <f t="shared" ref="I14:Y14" si="13">+I15+I17+I16</f>
        <v>44205</v>
      </c>
      <c r="J14" s="138">
        <f t="shared" si="13"/>
        <v>48521</v>
      </c>
      <c r="K14" s="138">
        <f t="shared" si="13"/>
        <v>48569</v>
      </c>
      <c r="L14" s="138">
        <f t="shared" si="13"/>
        <v>47108</v>
      </c>
      <c r="M14" s="138">
        <f t="shared" si="13"/>
        <v>41626.374613580061</v>
      </c>
      <c r="N14" s="138">
        <f t="shared" si="13"/>
        <v>50125.625386419939</v>
      </c>
      <c r="O14" s="138">
        <f t="shared" si="13"/>
        <v>50804</v>
      </c>
      <c r="P14" s="138">
        <f t="shared" si="13"/>
        <v>46413</v>
      </c>
      <c r="Q14" s="138">
        <f t="shared" si="13"/>
        <v>26892</v>
      </c>
      <c r="R14" s="138">
        <f t="shared" si="13"/>
        <v>16893.305000000168</v>
      </c>
      <c r="S14" s="138">
        <f t="shared" si="13"/>
        <v>18256.694999999832</v>
      </c>
      <c r="T14" s="138">
        <f t="shared" si="13"/>
        <v>19629</v>
      </c>
      <c r="U14" s="138">
        <f t="shared" si="13"/>
        <v>21427</v>
      </c>
      <c r="V14" s="138">
        <f t="shared" si="13"/>
        <v>17511</v>
      </c>
      <c r="W14" s="138">
        <f t="shared" si="13"/>
        <v>5321</v>
      </c>
      <c r="X14" s="138">
        <f t="shared" si="13"/>
        <v>-6339</v>
      </c>
      <c r="Y14" s="138">
        <f t="shared" si="13"/>
        <v>-25060</v>
      </c>
      <c r="AB14" s="98"/>
      <c r="AC14" s="98"/>
    </row>
    <row r="15" spans="1:42" ht="24.5" thickBot="1">
      <c r="A15" s="134" t="s">
        <v>383</v>
      </c>
      <c r="B15" s="123" t="s">
        <v>376</v>
      </c>
      <c r="C15" s="123"/>
      <c r="D15" s="140">
        <v>0</v>
      </c>
      <c r="E15" s="140">
        <v>0</v>
      </c>
      <c r="F15" s="140">
        <v>0</v>
      </c>
      <c r="G15" s="140">
        <v>0</v>
      </c>
      <c r="H15" s="140">
        <v>23170</v>
      </c>
      <c r="I15" s="140">
        <v>23648</v>
      </c>
      <c r="J15" s="140">
        <f>+J47-I47</f>
        <v>25234</v>
      </c>
      <c r="K15" s="140">
        <f>+K47-J47</f>
        <v>26553</v>
      </c>
      <c r="L15" s="140">
        <f>+L47</f>
        <v>26000</v>
      </c>
      <c r="M15" s="140">
        <f>+M47-L15</f>
        <v>27284</v>
      </c>
      <c r="N15" s="140">
        <f>+N47-M47</f>
        <v>29949</v>
      </c>
      <c r="O15" s="140">
        <f>+O47-N47</f>
        <v>31432</v>
      </c>
      <c r="P15" s="140">
        <f>+P47</f>
        <v>30128</v>
      </c>
      <c r="Q15" s="140">
        <f t="shared" ref="Q15:S15" si="14">+Q47-P47</f>
        <v>13082</v>
      </c>
      <c r="R15" s="140">
        <f t="shared" si="14"/>
        <v>11863</v>
      </c>
      <c r="S15" s="140">
        <f t="shared" si="14"/>
        <v>14861</v>
      </c>
      <c r="T15" s="140">
        <f>+T47</f>
        <v>16670</v>
      </c>
      <c r="U15" s="140">
        <f t="shared" ref="U15:W16" si="15">+U47-T47</f>
        <v>18548</v>
      </c>
      <c r="V15" s="140">
        <f t="shared" si="15"/>
        <v>13751</v>
      </c>
      <c r="W15" s="140">
        <f t="shared" si="15"/>
        <v>6403</v>
      </c>
      <c r="X15" s="140">
        <f>+X47</f>
        <v>7674</v>
      </c>
      <c r="Y15" s="140">
        <f t="shared" ref="Y15:Y17" si="16">+Y47-X47</f>
        <v>8947</v>
      </c>
      <c r="AB15" s="98"/>
      <c r="AC15" s="98"/>
    </row>
    <row r="16" spans="1:42" s="161" customFormat="1" ht="24.5" thickBot="1">
      <c r="A16" s="153" t="s">
        <v>625</v>
      </c>
      <c r="B16" s="156" t="s">
        <v>626</v>
      </c>
      <c r="C16" s="156"/>
      <c r="D16" s="154"/>
      <c r="E16" s="154"/>
      <c r="F16" s="154"/>
      <c r="G16" s="154"/>
      <c r="H16" s="154">
        <v>8402</v>
      </c>
      <c r="I16" s="154">
        <v>15713</v>
      </c>
      <c r="J16" s="154">
        <v>18141</v>
      </c>
      <c r="K16" s="154">
        <v>18163</v>
      </c>
      <c r="L16" s="154">
        <v>16339</v>
      </c>
      <c r="M16" s="154">
        <v>11796.374613580061</v>
      </c>
      <c r="N16" s="154">
        <v>17611.625386419939</v>
      </c>
      <c r="O16" s="154">
        <v>16721</v>
      </c>
      <c r="P16" s="154">
        <v>13869</v>
      </c>
      <c r="Q16" s="154">
        <v>12761</v>
      </c>
      <c r="R16" s="154">
        <v>4626.3050000001676</v>
      </c>
      <c r="S16" s="154">
        <v>3203.6949999998324</v>
      </c>
      <c r="T16" s="154">
        <v>2794</v>
      </c>
      <c r="U16" s="154">
        <f t="shared" si="15"/>
        <v>2758</v>
      </c>
      <c r="V16" s="154">
        <f t="shared" si="15"/>
        <v>3612</v>
      </c>
      <c r="W16" s="154">
        <f t="shared" si="15"/>
        <v>-1262</v>
      </c>
      <c r="X16" s="154">
        <f>+X48</f>
        <v>-14548</v>
      </c>
      <c r="Y16" s="154">
        <f t="shared" si="16"/>
        <v>-34993</v>
      </c>
      <c r="Z16" s="253"/>
      <c r="AA16" s="253"/>
      <c r="AB16" s="253"/>
      <c r="AC16" s="253"/>
    </row>
    <row r="17" spans="1:29" ht="15" thickBot="1">
      <c r="A17" s="134" t="s">
        <v>384</v>
      </c>
      <c r="B17" s="123" t="s">
        <v>377</v>
      </c>
      <c r="C17" s="123"/>
      <c r="D17" s="140">
        <v>2077</v>
      </c>
      <c r="E17" s="140">
        <v>2420</v>
      </c>
      <c r="F17" s="140">
        <v>1987</v>
      </c>
      <c r="G17" s="140">
        <v>3105</v>
      </c>
      <c r="H17" s="140">
        <v>4216</v>
      </c>
      <c r="I17" s="140">
        <v>4844</v>
      </c>
      <c r="J17" s="140">
        <f>+J49-I49</f>
        <v>5146</v>
      </c>
      <c r="K17" s="140">
        <f>+K49-J49</f>
        <v>3853</v>
      </c>
      <c r="L17" s="140">
        <f>+L49</f>
        <v>4769</v>
      </c>
      <c r="M17" s="140">
        <f>+M49-L17</f>
        <v>2546</v>
      </c>
      <c r="N17" s="140">
        <f>+N49-M49</f>
        <v>2565</v>
      </c>
      <c r="O17" s="140">
        <f>+O49-N49</f>
        <v>2651</v>
      </c>
      <c r="P17" s="140">
        <f>+P49</f>
        <v>2416</v>
      </c>
      <c r="Q17" s="140">
        <f>+Q49-P49</f>
        <v>1049</v>
      </c>
      <c r="R17" s="140">
        <f>+R49-Q49</f>
        <v>404</v>
      </c>
      <c r="S17" s="140">
        <f>+S49-R49</f>
        <v>192</v>
      </c>
      <c r="T17" s="140">
        <f>+T49</f>
        <v>165</v>
      </c>
      <c r="U17" s="140">
        <f>+U49-T49</f>
        <v>121</v>
      </c>
      <c r="V17" s="140">
        <f>+V49-U49</f>
        <v>148</v>
      </c>
      <c r="W17" s="140">
        <f>+W49-V49</f>
        <v>180</v>
      </c>
      <c r="X17" s="140">
        <f>+X49</f>
        <v>535</v>
      </c>
      <c r="Y17" s="140">
        <f t="shared" si="16"/>
        <v>986</v>
      </c>
      <c r="AB17" s="98"/>
      <c r="AC17" s="98"/>
    </row>
    <row r="18" spans="1:29" ht="15" thickBot="1">
      <c r="A18" s="142" t="s">
        <v>385</v>
      </c>
      <c r="B18" s="122" t="s">
        <v>156</v>
      </c>
      <c r="C18" s="122"/>
      <c r="D18" s="141">
        <f t="shared" ref="D18:Y18" si="17">+D14+D7+D5</f>
        <v>576350</v>
      </c>
      <c r="E18" s="141">
        <f t="shared" si="17"/>
        <v>593422</v>
      </c>
      <c r="F18" s="141">
        <f t="shared" si="17"/>
        <v>613252</v>
      </c>
      <c r="G18" s="141">
        <f t="shared" si="17"/>
        <v>615914</v>
      </c>
      <c r="H18" s="141">
        <f t="shared" si="17"/>
        <v>617997</v>
      </c>
      <c r="I18" s="141">
        <f t="shared" si="17"/>
        <v>640161</v>
      </c>
      <c r="J18" s="141">
        <f t="shared" si="17"/>
        <v>665522</v>
      </c>
      <c r="K18" s="141">
        <f t="shared" si="17"/>
        <v>698658</v>
      </c>
      <c r="L18" s="141">
        <f t="shared" si="17"/>
        <v>710898</v>
      </c>
      <c r="M18" s="141">
        <f t="shared" si="17"/>
        <v>804734.37461358006</v>
      </c>
      <c r="N18" s="141">
        <f t="shared" si="17"/>
        <v>957779.62538641994</v>
      </c>
      <c r="O18" s="141">
        <f t="shared" si="17"/>
        <v>963892</v>
      </c>
      <c r="P18" s="141">
        <f t="shared" si="17"/>
        <v>941600</v>
      </c>
      <c r="Q18" s="141">
        <f t="shared" si="17"/>
        <v>822114</v>
      </c>
      <c r="R18" s="141">
        <f t="shared" si="17"/>
        <v>697622.30500000017</v>
      </c>
      <c r="S18" s="141">
        <f t="shared" si="17"/>
        <v>665242.69499999983</v>
      </c>
      <c r="T18" s="141">
        <f t="shared" si="17"/>
        <v>654932</v>
      </c>
      <c r="U18" s="141">
        <f t="shared" si="17"/>
        <v>684964</v>
      </c>
      <c r="V18" s="141">
        <f t="shared" si="17"/>
        <v>696410</v>
      </c>
      <c r="W18" s="141">
        <f t="shared" si="17"/>
        <v>805787</v>
      </c>
      <c r="X18" s="141">
        <f t="shared" si="17"/>
        <v>1059315</v>
      </c>
      <c r="Y18" s="141">
        <f t="shared" si="17"/>
        <v>1491924</v>
      </c>
      <c r="AB18" s="98"/>
      <c r="AC18" s="98"/>
    </row>
    <row r="19" spans="1:29" ht="15" thickBot="1">
      <c r="B19"/>
      <c r="C19"/>
      <c r="D19"/>
      <c r="E19"/>
      <c r="F19"/>
      <c r="G19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AB19" s="98"/>
    </row>
    <row r="20" spans="1:29" s="194" customFormat="1" ht="24.5" thickBot="1">
      <c r="A20" s="196" t="s">
        <v>388</v>
      </c>
      <c r="B20" s="171" t="s">
        <v>477</v>
      </c>
      <c r="C20" s="171"/>
      <c r="D20" s="188" t="s">
        <v>262</v>
      </c>
      <c r="E20" s="188" t="s">
        <v>273</v>
      </c>
      <c r="F20" s="188" t="s">
        <v>276</v>
      </c>
      <c r="G20" s="188" t="s">
        <v>358</v>
      </c>
      <c r="H20" s="188" t="s">
        <v>285</v>
      </c>
      <c r="I20" s="188" t="s">
        <v>364</v>
      </c>
      <c r="J20" s="188" t="s">
        <v>403</v>
      </c>
      <c r="K20" s="188" t="s">
        <v>408</v>
      </c>
      <c r="L20" s="188" t="s">
        <v>412</v>
      </c>
      <c r="M20" s="188" t="s">
        <v>423</v>
      </c>
      <c r="N20" s="188" t="s">
        <v>428</v>
      </c>
      <c r="O20" s="188" t="s">
        <v>434</v>
      </c>
      <c r="P20" s="254" t="s">
        <v>510</v>
      </c>
      <c r="Q20" s="254" t="s">
        <v>590</v>
      </c>
      <c r="R20" s="254" t="s">
        <v>596</v>
      </c>
      <c r="S20" s="254" t="s">
        <v>607</v>
      </c>
      <c r="T20" s="254" t="s">
        <v>612</v>
      </c>
      <c r="U20" s="254" t="s">
        <v>617</v>
      </c>
      <c r="V20" s="254" t="s">
        <v>629</v>
      </c>
      <c r="W20" s="254" t="s">
        <v>636</v>
      </c>
      <c r="X20" s="254" t="s">
        <v>643</v>
      </c>
      <c r="Y20" s="254" t="s">
        <v>651</v>
      </c>
      <c r="Z20" s="193"/>
      <c r="AA20" s="193"/>
      <c r="AB20" s="193"/>
      <c r="AC20" s="193"/>
    </row>
    <row r="21" spans="1:29" ht="15" thickBot="1">
      <c r="A21" s="131" t="s">
        <v>335</v>
      </c>
      <c r="B21" s="117" t="s">
        <v>378</v>
      </c>
      <c r="C21" s="117"/>
      <c r="D21" s="129">
        <f>+D22+D23+D24+D25+D26+D28</f>
        <v>-182763</v>
      </c>
      <c r="E21" s="129">
        <f t="shared" ref="E21:K21" si="18">+E22+E23+E24+E25+E26+E28</f>
        <v>-172568</v>
      </c>
      <c r="F21" s="129">
        <f t="shared" si="18"/>
        <v>-174878</v>
      </c>
      <c r="G21" s="129">
        <f t="shared" si="18"/>
        <v>-171866</v>
      </c>
      <c r="H21" s="129">
        <f t="shared" si="18"/>
        <v>-181234</v>
      </c>
      <c r="I21" s="129">
        <f t="shared" si="18"/>
        <v>-183838</v>
      </c>
      <c r="J21" s="129">
        <f t="shared" si="18"/>
        <v>-184334</v>
      </c>
      <c r="K21" s="129">
        <f t="shared" si="18"/>
        <v>-194757</v>
      </c>
      <c r="L21" s="129">
        <f t="shared" ref="L21:Y21" si="19">+L22+L23+L24+L25+L26+L28+L27</f>
        <v>-210527</v>
      </c>
      <c r="M21" s="129">
        <f t="shared" si="19"/>
        <v>-220362</v>
      </c>
      <c r="N21" s="129">
        <f t="shared" si="19"/>
        <v>-252550</v>
      </c>
      <c r="O21" s="129">
        <f t="shared" si="19"/>
        <v>-254317</v>
      </c>
      <c r="P21" s="129">
        <f t="shared" si="19"/>
        <v>-251958</v>
      </c>
      <c r="Q21" s="129">
        <f t="shared" si="19"/>
        <v>-181878</v>
      </c>
      <c r="R21" s="129">
        <f t="shared" si="19"/>
        <v>-69040</v>
      </c>
      <c r="S21" s="129">
        <f t="shared" si="19"/>
        <v>-40588</v>
      </c>
      <c r="T21" s="129">
        <f t="shared" si="19"/>
        <v>-32637</v>
      </c>
      <c r="U21" s="129">
        <f t="shared" si="19"/>
        <v>-30091</v>
      </c>
      <c r="V21" s="129">
        <f t="shared" si="19"/>
        <v>-27532</v>
      </c>
      <c r="W21" s="129">
        <f t="shared" si="19"/>
        <v>-38687</v>
      </c>
      <c r="X21" s="129">
        <f t="shared" si="19"/>
        <v>-98276</v>
      </c>
      <c r="Y21" s="129">
        <f t="shared" si="19"/>
        <v>-313042</v>
      </c>
      <c r="AB21" s="98"/>
      <c r="AC21" s="98"/>
    </row>
    <row r="22" spans="1:29" ht="24.5" thickBot="1">
      <c r="A22" s="134" t="s">
        <v>389</v>
      </c>
      <c r="B22" s="126" t="s">
        <v>338</v>
      </c>
      <c r="C22" s="126"/>
      <c r="D22" s="133">
        <v>-6393</v>
      </c>
      <c r="E22" s="133">
        <v>-7078</v>
      </c>
      <c r="F22" s="133">
        <v>-9007</v>
      </c>
      <c r="G22" s="133">
        <v>-6655</v>
      </c>
      <c r="H22" s="133">
        <v>-6313</v>
      </c>
      <c r="I22" s="133">
        <v>-3671</v>
      </c>
      <c r="J22" s="133">
        <f t="shared" ref="J22:K26" si="20">+J54-I54</f>
        <v>-5492</v>
      </c>
      <c r="K22" s="140">
        <f t="shared" si="20"/>
        <v>-6340</v>
      </c>
      <c r="L22" s="140">
        <f t="shared" ref="L22:L29" si="21">+L54</f>
        <v>-6709</v>
      </c>
      <c r="M22" s="140">
        <f t="shared" ref="M22:M29" si="22">+M54-L22</f>
        <v>-7769</v>
      </c>
      <c r="N22" s="140">
        <f t="shared" ref="N22:O29" si="23">+N54-M54</f>
        <v>-7659</v>
      </c>
      <c r="O22" s="140">
        <f t="shared" si="23"/>
        <v>-7287</v>
      </c>
      <c r="P22" s="140">
        <f t="shared" ref="P22:P29" si="24">+P54</f>
        <v>-6333</v>
      </c>
      <c r="Q22" s="140">
        <f t="shared" ref="Q22:S29" si="25">+Q54-P54</f>
        <v>-5876</v>
      </c>
      <c r="R22" s="140">
        <f t="shared" si="25"/>
        <v>-3656</v>
      </c>
      <c r="S22" s="140">
        <f t="shared" si="25"/>
        <v>-2178</v>
      </c>
      <c r="T22" s="140">
        <f t="shared" ref="T22:T29" si="26">+T54</f>
        <v>-1916</v>
      </c>
      <c r="U22" s="140">
        <f t="shared" ref="U22:W29" si="27">+U54-T54</f>
        <v>-1601</v>
      </c>
      <c r="V22" s="140">
        <f t="shared" si="27"/>
        <v>-1273</v>
      </c>
      <c r="W22" s="140">
        <f t="shared" si="27"/>
        <v>-1829</v>
      </c>
      <c r="X22" s="140">
        <f t="shared" ref="X22:X29" si="28">+X54</f>
        <v>-6362</v>
      </c>
      <c r="Y22" s="140">
        <f t="shared" ref="Y22:Y29" si="29">+Y54-X54</f>
        <v>-8225</v>
      </c>
      <c r="AB22" s="98"/>
      <c r="AC22" s="98"/>
    </row>
    <row r="23" spans="1:29" ht="15" thickBot="1">
      <c r="A23" s="134" t="s">
        <v>339</v>
      </c>
      <c r="B23" s="126" t="s">
        <v>129</v>
      </c>
      <c r="C23" s="126"/>
      <c r="D23" s="133">
        <v>-160720</v>
      </c>
      <c r="E23" s="133">
        <v>-153058</v>
      </c>
      <c r="F23" s="133">
        <v>-151913</v>
      </c>
      <c r="G23" s="133">
        <v>-150301</v>
      </c>
      <c r="H23" s="133">
        <v>-158741</v>
      </c>
      <c r="I23" s="133">
        <v>-164199</v>
      </c>
      <c r="J23" s="133">
        <f t="shared" si="20"/>
        <v>-162554</v>
      </c>
      <c r="K23" s="140">
        <f t="shared" si="20"/>
        <v>-174928</v>
      </c>
      <c r="L23" s="140">
        <f t="shared" si="21"/>
        <v>-182830</v>
      </c>
      <c r="M23" s="140">
        <f t="shared" si="22"/>
        <v>-188117</v>
      </c>
      <c r="N23" s="140">
        <f t="shared" si="23"/>
        <v>-216597</v>
      </c>
      <c r="O23" s="140">
        <f t="shared" si="23"/>
        <v>-219429</v>
      </c>
      <c r="P23" s="140">
        <f t="shared" si="24"/>
        <v>-215765</v>
      </c>
      <c r="Q23" s="140">
        <f t="shared" si="25"/>
        <v>-153804</v>
      </c>
      <c r="R23" s="140">
        <f t="shared" si="25"/>
        <v>-50001</v>
      </c>
      <c r="S23" s="140">
        <f t="shared" si="25"/>
        <v>-24518</v>
      </c>
      <c r="T23" s="140">
        <f t="shared" si="26"/>
        <v>-17700</v>
      </c>
      <c r="U23" s="140">
        <f t="shared" si="27"/>
        <v>-15588</v>
      </c>
      <c r="V23" s="140">
        <f t="shared" si="27"/>
        <v>-13717</v>
      </c>
      <c r="W23" s="140">
        <f t="shared" si="27"/>
        <v>-21739</v>
      </c>
      <c r="X23" s="140">
        <f t="shared" si="28"/>
        <v>-64577</v>
      </c>
      <c r="Y23" s="140">
        <f t="shared" si="29"/>
        <v>-264050</v>
      </c>
      <c r="AB23" s="98"/>
      <c r="AC23" s="98"/>
    </row>
    <row r="24" spans="1:29" ht="15" thickBot="1">
      <c r="A24" s="134" t="s">
        <v>362</v>
      </c>
      <c r="B24" s="126" t="s">
        <v>374</v>
      </c>
      <c r="C24" s="126"/>
      <c r="D24" s="133">
        <v>-4225</v>
      </c>
      <c r="E24" s="133">
        <v>-2960</v>
      </c>
      <c r="F24" s="133">
        <v>-3740</v>
      </c>
      <c r="G24" s="133">
        <v>-3127</v>
      </c>
      <c r="H24" s="133">
        <v>-2117</v>
      </c>
      <c r="I24" s="133">
        <v>-2355</v>
      </c>
      <c r="J24" s="133">
        <f t="shared" si="20"/>
        <v>-4968</v>
      </c>
      <c r="K24" s="140">
        <f t="shared" si="20"/>
        <v>-2144</v>
      </c>
      <c r="L24" s="140">
        <f t="shared" si="21"/>
        <v>-2479</v>
      </c>
      <c r="M24" s="140">
        <f t="shared" si="22"/>
        <v>-794</v>
      </c>
      <c r="N24" s="140">
        <f t="shared" si="23"/>
        <v>-1141</v>
      </c>
      <c r="O24" s="140">
        <f t="shared" si="23"/>
        <v>-1583</v>
      </c>
      <c r="P24" s="140">
        <f t="shared" si="24"/>
        <v>-6302</v>
      </c>
      <c r="Q24" s="140">
        <f t="shared" si="25"/>
        <v>-1372</v>
      </c>
      <c r="R24" s="140">
        <f t="shared" si="25"/>
        <v>-110</v>
      </c>
      <c r="S24" s="140">
        <f t="shared" si="25"/>
        <v>-11</v>
      </c>
      <c r="T24" s="140">
        <f t="shared" si="26"/>
        <v>-5</v>
      </c>
      <c r="U24" s="140">
        <f t="shared" si="27"/>
        <v>-4</v>
      </c>
      <c r="V24" s="140">
        <f t="shared" si="27"/>
        <v>-39</v>
      </c>
      <c r="W24" s="140">
        <f t="shared" si="27"/>
        <v>-1743</v>
      </c>
      <c r="X24" s="140">
        <f t="shared" si="28"/>
        <v>-7197</v>
      </c>
      <c r="Y24" s="140">
        <f t="shared" si="29"/>
        <v>-16434</v>
      </c>
      <c r="AB24" s="98"/>
      <c r="AC24" s="98"/>
    </row>
    <row r="25" spans="1:29" ht="15" thickBot="1">
      <c r="A25" s="134" t="s">
        <v>340</v>
      </c>
      <c r="B25" s="126" t="s">
        <v>341</v>
      </c>
      <c r="C25" s="126"/>
      <c r="D25" s="133">
        <v>-8467</v>
      </c>
      <c r="E25" s="133">
        <v>-6566</v>
      </c>
      <c r="F25" s="133">
        <v>-7331</v>
      </c>
      <c r="G25" s="133">
        <v>-7313</v>
      </c>
      <c r="H25" s="133">
        <v>-6969</v>
      </c>
      <c r="I25" s="133">
        <v>-6453</v>
      </c>
      <c r="J25" s="133">
        <f t="shared" si="20"/>
        <v>-4122</v>
      </c>
      <c r="K25" s="140">
        <f t="shared" si="20"/>
        <v>-4141</v>
      </c>
      <c r="L25" s="140">
        <f t="shared" si="21"/>
        <v>-4125</v>
      </c>
      <c r="M25" s="140">
        <f t="shared" si="22"/>
        <v>-5715</v>
      </c>
      <c r="N25" s="140">
        <f t="shared" si="23"/>
        <v>-8329</v>
      </c>
      <c r="O25" s="140">
        <f t="shared" si="23"/>
        <v>-8016</v>
      </c>
      <c r="P25" s="140">
        <f t="shared" si="24"/>
        <v>-6045</v>
      </c>
      <c r="Q25" s="140">
        <f t="shared" si="25"/>
        <v>-3634</v>
      </c>
      <c r="R25" s="140">
        <f t="shared" si="25"/>
        <v>-2291</v>
      </c>
      <c r="S25" s="140">
        <f t="shared" si="25"/>
        <v>-1820</v>
      </c>
      <c r="T25" s="140">
        <f t="shared" si="26"/>
        <v>-1332</v>
      </c>
      <c r="U25" s="140">
        <f t="shared" si="27"/>
        <v>-1032</v>
      </c>
      <c r="V25" s="140">
        <f t="shared" si="27"/>
        <v>-788</v>
      </c>
      <c r="W25" s="140">
        <f t="shared" si="27"/>
        <v>-617</v>
      </c>
      <c r="X25" s="140">
        <f t="shared" si="28"/>
        <v>-317</v>
      </c>
      <c r="Y25" s="140">
        <f t="shared" si="29"/>
        <v>-208</v>
      </c>
      <c r="AB25" s="98"/>
      <c r="AC25" s="98"/>
    </row>
    <row r="26" spans="1:29" ht="15" thickBot="1">
      <c r="A26" s="134" t="s">
        <v>48</v>
      </c>
      <c r="B26" s="126" t="s">
        <v>134</v>
      </c>
      <c r="C26" s="126"/>
      <c r="D26" s="133">
        <v>-2958</v>
      </c>
      <c r="E26" s="133">
        <v>-2906</v>
      </c>
      <c r="F26" s="133">
        <v>-2887</v>
      </c>
      <c r="G26" s="133">
        <v>-4470</v>
      </c>
      <c r="H26" s="133">
        <v>-7094</v>
      </c>
      <c r="I26" s="133">
        <v>-7160</v>
      </c>
      <c r="J26" s="133">
        <f t="shared" si="20"/>
        <v>-7198</v>
      </c>
      <c r="K26" s="140">
        <f t="shared" si="20"/>
        <v>-7204</v>
      </c>
      <c r="L26" s="140">
        <f t="shared" si="21"/>
        <v>-12733</v>
      </c>
      <c r="M26" s="140">
        <f t="shared" si="22"/>
        <v>-15861</v>
      </c>
      <c r="N26" s="140">
        <f t="shared" si="23"/>
        <v>-16569</v>
      </c>
      <c r="O26" s="140">
        <f t="shared" si="23"/>
        <v>-15773</v>
      </c>
      <c r="P26" s="140">
        <f t="shared" si="24"/>
        <v>-15586</v>
      </c>
      <c r="Q26" s="140">
        <f t="shared" si="25"/>
        <v>-14913</v>
      </c>
      <c r="R26" s="140">
        <f t="shared" si="25"/>
        <v>-10968</v>
      </c>
      <c r="S26" s="140">
        <f t="shared" si="25"/>
        <v>-9974</v>
      </c>
      <c r="T26" s="140">
        <f t="shared" si="26"/>
        <v>-9641</v>
      </c>
      <c r="U26" s="140">
        <f t="shared" si="27"/>
        <v>-9727</v>
      </c>
      <c r="V26" s="140">
        <f t="shared" si="27"/>
        <v>-9834</v>
      </c>
      <c r="W26" s="140">
        <f t="shared" si="27"/>
        <v>-10874</v>
      </c>
      <c r="X26" s="140">
        <f t="shared" si="28"/>
        <v>-17819</v>
      </c>
      <c r="Y26" s="140">
        <f t="shared" si="29"/>
        <v>-22130</v>
      </c>
      <c r="AB26" s="98"/>
      <c r="AC26" s="98"/>
    </row>
    <row r="27" spans="1:29" ht="15" thickBot="1">
      <c r="A27" s="155" t="s">
        <v>414</v>
      </c>
      <c r="B27" s="157" t="s">
        <v>419</v>
      </c>
      <c r="C27" s="157"/>
      <c r="D27" s="158"/>
      <c r="E27" s="158"/>
      <c r="F27" s="158"/>
      <c r="G27" s="158"/>
      <c r="H27" s="159" t="s">
        <v>395</v>
      </c>
      <c r="I27" s="159" t="s">
        <v>395</v>
      </c>
      <c r="J27" s="159" t="s">
        <v>395</v>
      </c>
      <c r="K27" s="159" t="s">
        <v>395</v>
      </c>
      <c r="L27" s="154">
        <f t="shared" si="21"/>
        <v>-1651</v>
      </c>
      <c r="M27" s="154">
        <f t="shared" si="22"/>
        <v>-2017</v>
      </c>
      <c r="N27" s="154">
        <f t="shared" si="23"/>
        <v>-1979</v>
      </c>
      <c r="O27" s="154">
        <f t="shared" si="23"/>
        <v>-2229</v>
      </c>
      <c r="P27" s="140">
        <f t="shared" si="24"/>
        <v>-1927</v>
      </c>
      <c r="Q27" s="140">
        <f t="shared" si="25"/>
        <v>-2279</v>
      </c>
      <c r="R27" s="140">
        <f t="shared" si="25"/>
        <v>-2014</v>
      </c>
      <c r="S27" s="140">
        <f t="shared" si="25"/>
        <v>-2087</v>
      </c>
      <c r="T27" s="140">
        <f t="shared" si="26"/>
        <v>-2043</v>
      </c>
      <c r="U27" s="140">
        <f t="shared" si="27"/>
        <v>-2139</v>
      </c>
      <c r="V27" s="140">
        <f t="shared" si="27"/>
        <v>-1881</v>
      </c>
      <c r="W27" s="140">
        <f t="shared" si="27"/>
        <v>-1885</v>
      </c>
      <c r="X27" s="140">
        <f t="shared" si="28"/>
        <v>-2004</v>
      </c>
      <c r="Y27" s="140">
        <f t="shared" si="29"/>
        <v>-1995</v>
      </c>
      <c r="AB27" s="98"/>
      <c r="AC27" s="98"/>
    </row>
    <row r="28" spans="1:29" ht="15" thickBot="1">
      <c r="A28" s="134" t="s">
        <v>34</v>
      </c>
      <c r="B28" s="126" t="s">
        <v>328</v>
      </c>
      <c r="C28" s="126"/>
      <c r="D28" s="135">
        <v>0</v>
      </c>
      <c r="E28" s="135">
        <v>0</v>
      </c>
      <c r="F28" s="135">
        <v>0</v>
      </c>
      <c r="G28" s="135">
        <v>0</v>
      </c>
      <c r="H28" s="143">
        <v>0</v>
      </c>
      <c r="I28" s="135">
        <v>0</v>
      </c>
      <c r="J28" s="135">
        <f>+J60-I60</f>
        <v>0</v>
      </c>
      <c r="K28" s="140">
        <f>+K60-J60</f>
        <v>0</v>
      </c>
      <c r="L28" s="140">
        <f t="shared" si="21"/>
        <v>0</v>
      </c>
      <c r="M28" s="140">
        <f t="shared" si="22"/>
        <v>-89</v>
      </c>
      <c r="N28" s="140">
        <f t="shared" si="23"/>
        <v>-276</v>
      </c>
      <c r="O28" s="140">
        <f t="shared" si="23"/>
        <v>0</v>
      </c>
      <c r="P28" s="140">
        <f t="shared" si="24"/>
        <v>0</v>
      </c>
      <c r="Q28" s="140">
        <f t="shared" si="25"/>
        <v>0</v>
      </c>
      <c r="R28" s="140">
        <f t="shared" si="25"/>
        <v>0</v>
      </c>
      <c r="S28" s="140">
        <f t="shared" si="25"/>
        <v>0</v>
      </c>
      <c r="T28" s="140">
        <f t="shared" si="26"/>
        <v>0</v>
      </c>
      <c r="U28" s="140">
        <f t="shared" si="27"/>
        <v>0</v>
      </c>
      <c r="V28" s="140">
        <f>+V60-U60</f>
        <v>0</v>
      </c>
      <c r="W28" s="140">
        <f>+W60-V60</f>
        <v>0</v>
      </c>
      <c r="X28" s="140">
        <f t="shared" si="28"/>
        <v>0</v>
      </c>
      <c r="Y28" s="140">
        <f t="shared" si="29"/>
        <v>0</v>
      </c>
      <c r="AB28" s="98"/>
      <c r="AC28" s="98"/>
    </row>
    <row r="29" spans="1:29" ht="15" thickBot="1">
      <c r="A29" s="136" t="s">
        <v>67</v>
      </c>
      <c r="B29" s="118" t="s">
        <v>354</v>
      </c>
      <c r="C29" s="118"/>
      <c r="D29" s="133">
        <v>-99</v>
      </c>
      <c r="E29" s="133">
        <v>-85</v>
      </c>
      <c r="F29" s="133">
        <v>-93</v>
      </c>
      <c r="G29" s="133">
        <v>-118</v>
      </c>
      <c r="H29" s="133">
        <v>-70</v>
      </c>
      <c r="I29" s="133">
        <v>-70</v>
      </c>
      <c r="J29" s="133">
        <f>+J61-I61</f>
        <v>-72</v>
      </c>
      <c r="K29" s="140">
        <f>+K61-J61</f>
        <v>-69</v>
      </c>
      <c r="L29" s="140">
        <f t="shared" si="21"/>
        <v>-40</v>
      </c>
      <c r="M29" s="140">
        <f t="shared" si="22"/>
        <v>-41</v>
      </c>
      <c r="N29" s="140">
        <f t="shared" si="23"/>
        <v>-40</v>
      </c>
      <c r="O29" s="140">
        <f t="shared" si="23"/>
        <v>-40</v>
      </c>
      <c r="P29" s="140">
        <f t="shared" si="24"/>
        <v>-6</v>
      </c>
      <c r="Q29" s="140">
        <f t="shared" si="25"/>
        <v>-18</v>
      </c>
      <c r="R29" s="140">
        <f t="shared" si="25"/>
        <v>-11</v>
      </c>
      <c r="S29" s="140">
        <f t="shared" si="25"/>
        <v>-20</v>
      </c>
      <c r="T29" s="140">
        <f t="shared" si="26"/>
        <v>-1</v>
      </c>
      <c r="U29" s="140">
        <f t="shared" si="27"/>
        <v>-1</v>
      </c>
      <c r="V29" s="140">
        <f t="shared" si="27"/>
        <v>0</v>
      </c>
      <c r="W29" s="140">
        <f t="shared" si="27"/>
        <v>-1</v>
      </c>
      <c r="X29" s="140">
        <f t="shared" si="28"/>
        <v>0</v>
      </c>
      <c r="Y29" s="140">
        <f t="shared" si="29"/>
        <v>0</v>
      </c>
      <c r="AB29" s="98"/>
      <c r="AC29" s="98"/>
    </row>
    <row r="30" spans="1:29" ht="15" thickBot="1">
      <c r="A30" s="142" t="s">
        <v>68</v>
      </c>
      <c r="B30" s="119" t="s">
        <v>156</v>
      </c>
      <c r="C30" s="119"/>
      <c r="D30" s="137">
        <f>+D29+D21</f>
        <v>-182862</v>
      </c>
      <c r="E30" s="137">
        <f t="shared" ref="E30:Y30" si="30">+E29+E21</f>
        <v>-172653</v>
      </c>
      <c r="F30" s="137">
        <f t="shared" si="30"/>
        <v>-174971</v>
      </c>
      <c r="G30" s="137">
        <f t="shared" si="30"/>
        <v>-171984</v>
      </c>
      <c r="H30" s="137">
        <f t="shared" si="30"/>
        <v>-181304</v>
      </c>
      <c r="I30" s="137">
        <f t="shared" si="30"/>
        <v>-183908</v>
      </c>
      <c r="J30" s="137">
        <f t="shared" si="30"/>
        <v>-184406</v>
      </c>
      <c r="K30" s="137">
        <f t="shared" si="30"/>
        <v>-194826</v>
      </c>
      <c r="L30" s="137">
        <f t="shared" si="30"/>
        <v>-210567</v>
      </c>
      <c r="M30" s="137">
        <f t="shared" si="30"/>
        <v>-220403</v>
      </c>
      <c r="N30" s="137">
        <f t="shared" si="30"/>
        <v>-252590</v>
      </c>
      <c r="O30" s="137">
        <f t="shared" si="30"/>
        <v>-254357</v>
      </c>
      <c r="P30" s="137">
        <f t="shared" si="30"/>
        <v>-251964</v>
      </c>
      <c r="Q30" s="137">
        <f t="shared" si="30"/>
        <v>-181896</v>
      </c>
      <c r="R30" s="137">
        <f t="shared" si="30"/>
        <v>-69051</v>
      </c>
      <c r="S30" s="137">
        <f t="shared" si="30"/>
        <v>-40608</v>
      </c>
      <c r="T30" s="137">
        <f t="shared" si="30"/>
        <v>-32638</v>
      </c>
      <c r="U30" s="137">
        <f t="shared" si="30"/>
        <v>-30092</v>
      </c>
      <c r="V30" s="137">
        <f t="shared" si="30"/>
        <v>-27532</v>
      </c>
      <c r="W30" s="137">
        <f t="shared" si="30"/>
        <v>-38688</v>
      </c>
      <c r="X30" s="137">
        <f t="shared" si="30"/>
        <v>-98276</v>
      </c>
      <c r="Y30" s="137">
        <f t="shared" si="30"/>
        <v>-313042</v>
      </c>
      <c r="AB30" s="98"/>
      <c r="AC30" s="98"/>
    </row>
    <row r="31" spans="1:29">
      <c r="A31" s="162" t="s">
        <v>416</v>
      </c>
      <c r="B31" s="162" t="s">
        <v>415</v>
      </c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P31"/>
      <c r="Q31"/>
      <c r="R31"/>
      <c r="S31"/>
    </row>
    <row r="32" spans="1:29">
      <c r="A32" s="178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P32"/>
      <c r="Q32"/>
      <c r="R32"/>
      <c r="S32"/>
    </row>
    <row r="33" spans="1:43" ht="15.5">
      <c r="A33" s="101" t="s">
        <v>357</v>
      </c>
      <c r="B33" s="83"/>
      <c r="P33"/>
      <c r="Q33"/>
      <c r="R33"/>
      <c r="S33"/>
    </row>
    <row r="34" spans="1:43" ht="15.5">
      <c r="A34" s="101" t="s">
        <v>476</v>
      </c>
      <c r="B34" s="99"/>
      <c r="D34" s="99"/>
      <c r="P34"/>
      <c r="Q34"/>
      <c r="R34"/>
      <c r="S34"/>
    </row>
    <row r="35" spans="1:43" s="194" customFormat="1">
      <c r="A35" s="171" t="s">
        <v>23</v>
      </c>
      <c r="B35" s="171" t="s">
        <v>172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193"/>
      <c r="AA35" s="193"/>
    </row>
    <row r="36" spans="1:43" s="194" customFormat="1" ht="24">
      <c r="A36" s="192" t="s">
        <v>386</v>
      </c>
      <c r="B36" s="192" t="s">
        <v>475</v>
      </c>
      <c r="C36" s="188" t="s">
        <v>356</v>
      </c>
      <c r="D36" s="188" t="s">
        <v>262</v>
      </c>
      <c r="E36" s="188" t="s">
        <v>267</v>
      </c>
      <c r="F36" s="188" t="s">
        <v>275</v>
      </c>
      <c r="G36" s="188" t="s">
        <v>355</v>
      </c>
      <c r="H36" s="188" t="s">
        <v>285</v>
      </c>
      <c r="I36" s="188" t="s">
        <v>369</v>
      </c>
      <c r="J36" s="188" t="s">
        <v>404</v>
      </c>
      <c r="K36" s="188" t="s">
        <v>410</v>
      </c>
      <c r="L36" s="188" t="s">
        <v>412</v>
      </c>
      <c r="M36" s="188" t="s">
        <v>422</v>
      </c>
      <c r="N36" s="188" t="s">
        <v>427</v>
      </c>
      <c r="O36" s="188" t="s">
        <v>430</v>
      </c>
      <c r="P36" s="254" t="s">
        <v>510</v>
      </c>
      <c r="Q36" s="254" t="s">
        <v>591</v>
      </c>
      <c r="R36" s="254" t="s">
        <v>597</v>
      </c>
      <c r="S36" s="254" t="s">
        <v>608</v>
      </c>
      <c r="T36" s="254" t="s">
        <v>612</v>
      </c>
      <c r="U36" s="254" t="s">
        <v>618</v>
      </c>
      <c r="V36" s="254" t="s">
        <v>630</v>
      </c>
      <c r="W36" s="254" t="s">
        <v>637</v>
      </c>
      <c r="X36" s="254" t="s">
        <v>643</v>
      </c>
      <c r="Y36" s="254" t="s">
        <v>650</v>
      </c>
      <c r="Z36" s="193"/>
      <c r="AA36" s="193"/>
      <c r="AB36"/>
      <c r="AC36" s="200"/>
      <c r="AD36" s="200"/>
      <c r="AE36" s="200"/>
      <c r="AF36" s="200"/>
      <c r="AG36" s="200"/>
    </row>
    <row r="37" spans="1:43" ht="24.5" thickBot="1">
      <c r="A37" s="120" t="s">
        <v>379</v>
      </c>
      <c r="B37" s="120" t="s">
        <v>370</v>
      </c>
      <c r="C37" s="138">
        <f>+C38</f>
        <v>267442</v>
      </c>
      <c r="D37" s="138">
        <f t="shared" ref="D37:Y37" si="31">+D38</f>
        <v>81289</v>
      </c>
      <c r="E37" s="138">
        <f t="shared" si="31"/>
        <v>160749</v>
      </c>
      <c r="F37" s="138">
        <f t="shared" si="31"/>
        <v>245534</v>
      </c>
      <c r="G37" s="138">
        <f t="shared" si="31"/>
        <v>328150</v>
      </c>
      <c r="H37" s="138">
        <f t="shared" si="31"/>
        <v>88336</v>
      </c>
      <c r="I37" s="138">
        <f t="shared" si="31"/>
        <v>174182</v>
      </c>
      <c r="J37" s="138">
        <f t="shared" si="31"/>
        <v>257535</v>
      </c>
      <c r="K37" s="138">
        <f t="shared" si="31"/>
        <v>352397</v>
      </c>
      <c r="L37" s="138">
        <f t="shared" si="31"/>
        <v>105093</v>
      </c>
      <c r="M37" s="138">
        <f t="shared" si="31"/>
        <v>199113</v>
      </c>
      <c r="N37" s="138">
        <f t="shared" si="31"/>
        <v>293772</v>
      </c>
      <c r="O37" s="138">
        <f t="shared" si="31"/>
        <v>394733</v>
      </c>
      <c r="P37" s="138">
        <f t="shared" si="31"/>
        <v>102120</v>
      </c>
      <c r="Q37" s="138">
        <f t="shared" si="31"/>
        <v>196010</v>
      </c>
      <c r="R37" s="138">
        <f t="shared" si="31"/>
        <v>264201</v>
      </c>
      <c r="S37" s="138">
        <f t="shared" si="31"/>
        <v>313452</v>
      </c>
      <c r="T37" s="138">
        <f t="shared" si="31"/>
        <v>37009</v>
      </c>
      <c r="U37" s="138">
        <f t="shared" si="31"/>
        <v>73475</v>
      </c>
      <c r="V37" s="138">
        <f t="shared" si="31"/>
        <v>106825</v>
      </c>
      <c r="W37" s="138">
        <f t="shared" si="31"/>
        <v>157554</v>
      </c>
      <c r="X37" s="138">
        <f t="shared" si="31"/>
        <v>81986</v>
      </c>
      <c r="Y37" s="138">
        <f t="shared" si="31"/>
        <v>197970</v>
      </c>
      <c r="AA37" s="200"/>
      <c r="AC37" s="200"/>
      <c r="AD37" s="200"/>
      <c r="AE37" s="200"/>
      <c r="AF37" s="200"/>
      <c r="AG37" s="200"/>
      <c r="AI37" s="132"/>
      <c r="AJ37" s="132"/>
      <c r="AK37" s="132"/>
      <c r="AL37" s="132"/>
      <c r="AM37" s="132"/>
      <c r="AN37" s="132"/>
      <c r="AO37" s="132"/>
      <c r="AP37" s="132"/>
      <c r="AQ37" s="132"/>
    </row>
    <row r="38" spans="1:43" ht="15" thickBot="1">
      <c r="A38" s="121" t="s">
        <v>45</v>
      </c>
      <c r="B38" s="123" t="s">
        <v>321</v>
      </c>
      <c r="C38" s="140">
        <v>267442</v>
      </c>
      <c r="D38" s="140">
        <v>81289</v>
      </c>
      <c r="E38" s="140">
        <v>160749</v>
      </c>
      <c r="F38" s="140">
        <v>245534</v>
      </c>
      <c r="G38" s="140">
        <v>328150</v>
      </c>
      <c r="H38" s="140">
        <v>88336</v>
      </c>
      <c r="I38" s="140">
        <v>174182</v>
      </c>
      <c r="J38" s="140">
        <v>257535</v>
      </c>
      <c r="K38" s="140">
        <v>352397</v>
      </c>
      <c r="L38" s="140">
        <v>105093</v>
      </c>
      <c r="M38" s="140">
        <v>199113</v>
      </c>
      <c r="N38" s="140">
        <v>293772</v>
      </c>
      <c r="O38" s="140">
        <v>394733</v>
      </c>
      <c r="P38" s="140">
        <v>102120</v>
      </c>
      <c r="Q38" s="140">
        <v>196010</v>
      </c>
      <c r="R38" s="140">
        <v>264201</v>
      </c>
      <c r="S38" s="140">
        <v>313452</v>
      </c>
      <c r="T38" s="140">
        <v>37009</v>
      </c>
      <c r="U38" s="140">
        <v>73475</v>
      </c>
      <c r="V38" s="140">
        <v>106825</v>
      </c>
      <c r="W38" s="140">
        <v>157554</v>
      </c>
      <c r="X38" s="140">
        <v>81986</v>
      </c>
      <c r="Y38" s="140">
        <v>197970</v>
      </c>
      <c r="AA38" s="200"/>
      <c r="AC38" s="200"/>
      <c r="AD38" s="200"/>
      <c r="AE38" s="200"/>
      <c r="AF38" s="200"/>
      <c r="AG38" s="200"/>
      <c r="AI38" s="132"/>
      <c r="AJ38" s="132"/>
      <c r="AK38" s="132"/>
      <c r="AL38" s="132"/>
      <c r="AM38" s="132"/>
      <c r="AN38" s="132"/>
      <c r="AO38" s="132"/>
      <c r="AP38" s="132"/>
      <c r="AQ38" s="132"/>
    </row>
    <row r="39" spans="1:43" ht="24.5" thickBot="1">
      <c r="A39" s="120" t="s">
        <v>380</v>
      </c>
      <c r="B39" s="120" t="s">
        <v>371</v>
      </c>
      <c r="C39" s="138">
        <f>+C40+C41+C42+C43+C44+C45</f>
        <v>2004237</v>
      </c>
      <c r="D39" s="138">
        <f t="shared" ref="D39:Y39" si="32">+D40+D41+D42+D43+D44+D45</f>
        <v>492984</v>
      </c>
      <c r="E39" s="138">
        <f t="shared" si="32"/>
        <v>1004526</v>
      </c>
      <c r="F39" s="138">
        <f t="shared" si="32"/>
        <v>1531006</v>
      </c>
      <c r="G39" s="138">
        <f t="shared" si="32"/>
        <v>2061199</v>
      </c>
      <c r="H39" s="138">
        <f t="shared" si="32"/>
        <v>493873</v>
      </c>
      <c r="I39" s="138">
        <f t="shared" si="32"/>
        <v>1003983</v>
      </c>
      <c r="J39" s="138">
        <f t="shared" si="32"/>
        <v>1537631</v>
      </c>
      <c r="K39" s="138">
        <f t="shared" si="32"/>
        <v>2092858</v>
      </c>
      <c r="L39" s="138">
        <f t="shared" si="32"/>
        <v>558697</v>
      </c>
      <c r="M39" s="138">
        <f t="shared" si="32"/>
        <v>1227785</v>
      </c>
      <c r="N39" s="138">
        <f t="shared" si="32"/>
        <v>2040780</v>
      </c>
      <c r="O39" s="138">
        <f t="shared" si="32"/>
        <v>2852907</v>
      </c>
      <c r="P39" s="138">
        <f t="shared" si="32"/>
        <v>793067</v>
      </c>
      <c r="Q39" s="138">
        <f t="shared" si="32"/>
        <v>1494399</v>
      </c>
      <c r="R39" s="138">
        <f t="shared" si="32"/>
        <v>2106937</v>
      </c>
      <c r="S39" s="138">
        <f t="shared" si="32"/>
        <v>2704672</v>
      </c>
      <c r="T39" s="138">
        <f t="shared" si="32"/>
        <v>598294</v>
      </c>
      <c r="U39" s="138">
        <f t="shared" si="32"/>
        <v>1225365</v>
      </c>
      <c r="V39" s="138">
        <f t="shared" si="32"/>
        <v>1870914</v>
      </c>
      <c r="W39" s="138">
        <f t="shared" si="32"/>
        <v>2620651</v>
      </c>
      <c r="X39" s="138">
        <f t="shared" si="32"/>
        <v>983668</v>
      </c>
      <c r="Y39" s="138">
        <f t="shared" si="32"/>
        <v>2384668</v>
      </c>
      <c r="AA39" s="200"/>
      <c r="AC39" s="200"/>
      <c r="AD39" s="200"/>
      <c r="AE39" s="200"/>
      <c r="AF39" s="200"/>
      <c r="AG39" s="200"/>
      <c r="AI39" s="132"/>
      <c r="AJ39" s="132"/>
      <c r="AK39" s="132"/>
      <c r="AL39" s="132"/>
      <c r="AM39" s="132"/>
      <c r="AN39" s="132"/>
      <c r="AO39" s="132"/>
      <c r="AP39" s="132"/>
      <c r="AQ39" s="132"/>
    </row>
    <row r="40" spans="1:43" ht="15" thickBot="1">
      <c r="A40" s="121" t="s">
        <v>360</v>
      </c>
      <c r="B40" s="123" t="s">
        <v>372</v>
      </c>
      <c r="C40" s="140">
        <v>25970</v>
      </c>
      <c r="D40" s="140">
        <v>6492</v>
      </c>
      <c r="E40" s="140">
        <v>13307</v>
      </c>
      <c r="F40" s="140">
        <v>20367</v>
      </c>
      <c r="G40" s="140">
        <v>27222</v>
      </c>
      <c r="H40" s="140">
        <v>2589</v>
      </c>
      <c r="I40" s="140">
        <v>5207</v>
      </c>
      <c r="J40" s="140">
        <v>7829</v>
      </c>
      <c r="K40" s="140">
        <v>10528</v>
      </c>
      <c r="L40" s="140">
        <v>2860</v>
      </c>
      <c r="M40" s="140">
        <v>5938</v>
      </c>
      <c r="N40" s="140">
        <v>9280</v>
      </c>
      <c r="O40" s="140">
        <v>12779</v>
      </c>
      <c r="P40" s="140">
        <v>3637</v>
      </c>
      <c r="Q40" s="140">
        <v>5069</v>
      </c>
      <c r="R40" s="140">
        <v>5148</v>
      </c>
      <c r="S40" s="140">
        <v>5252</v>
      </c>
      <c r="T40" s="140">
        <v>100</v>
      </c>
      <c r="U40" s="140">
        <v>206</v>
      </c>
      <c r="V40" s="140">
        <v>315</v>
      </c>
      <c r="W40" s="140">
        <v>3753</v>
      </c>
      <c r="X40" s="140">
        <v>12837</v>
      </c>
      <c r="Y40" s="140">
        <v>54148</v>
      </c>
      <c r="AA40" s="200"/>
      <c r="AC40" s="200"/>
      <c r="AD40" s="200"/>
      <c r="AE40" s="200"/>
      <c r="AF40" s="200"/>
      <c r="AG40" s="200"/>
      <c r="AI40" s="132"/>
      <c r="AJ40" s="132"/>
      <c r="AK40" s="132"/>
      <c r="AL40" s="132"/>
      <c r="AM40" s="132"/>
      <c r="AN40" s="132"/>
      <c r="AO40" s="132"/>
      <c r="AP40" s="132"/>
      <c r="AQ40" s="132"/>
    </row>
    <row r="41" spans="1:43" ht="15" thickBot="1">
      <c r="A41" s="121" t="s">
        <v>35</v>
      </c>
      <c r="B41" s="123" t="s">
        <v>324</v>
      </c>
      <c r="C41" s="140">
        <v>1633572</v>
      </c>
      <c r="D41" s="140">
        <v>406659</v>
      </c>
      <c r="E41" s="140">
        <v>830122</v>
      </c>
      <c r="F41" s="140">
        <v>1270977</v>
      </c>
      <c r="G41" s="140">
        <v>1719426</v>
      </c>
      <c r="H41" s="140">
        <v>421510</v>
      </c>
      <c r="I41" s="140">
        <v>862807</v>
      </c>
      <c r="J41" s="140">
        <v>1324400</v>
      </c>
      <c r="K41" s="140">
        <v>1807004</v>
      </c>
      <c r="L41" s="140">
        <v>488624</v>
      </c>
      <c r="M41" s="140">
        <v>1079407</v>
      </c>
      <c r="N41" s="140">
        <v>1816641</v>
      </c>
      <c r="O41" s="140">
        <v>2553047</v>
      </c>
      <c r="P41" s="140">
        <v>718199</v>
      </c>
      <c r="Q41" s="140">
        <v>1363608</v>
      </c>
      <c r="R41" s="140">
        <v>1942389</v>
      </c>
      <c r="S41" s="140">
        <v>2512410</v>
      </c>
      <c r="T41" s="140">
        <v>569973</v>
      </c>
      <c r="U41" s="140">
        <v>1171869</v>
      </c>
      <c r="V41" s="140">
        <v>1793850</v>
      </c>
      <c r="W41" s="140">
        <v>2511866</v>
      </c>
      <c r="X41" s="140">
        <v>938577</v>
      </c>
      <c r="Y41" s="140">
        <v>2232785</v>
      </c>
      <c r="AA41" s="200"/>
      <c r="AC41" s="200"/>
      <c r="AD41" s="200"/>
      <c r="AE41" s="200"/>
      <c r="AF41" s="200"/>
      <c r="AG41" s="200"/>
      <c r="AI41" s="132"/>
      <c r="AJ41" s="132"/>
      <c r="AK41" s="132"/>
      <c r="AL41" s="132"/>
      <c r="AM41" s="132"/>
      <c r="AN41" s="132"/>
      <c r="AO41" s="132"/>
      <c r="AP41" s="132"/>
      <c r="AQ41" s="132"/>
    </row>
    <row r="42" spans="1:43" ht="15" thickBot="1">
      <c r="A42" s="121" t="s">
        <v>45</v>
      </c>
      <c r="B42" s="123" t="s">
        <v>321</v>
      </c>
      <c r="C42" s="140">
        <v>0</v>
      </c>
      <c r="D42" s="140">
        <v>0</v>
      </c>
      <c r="E42" s="140">
        <v>0</v>
      </c>
      <c r="F42" s="140">
        <v>0</v>
      </c>
      <c r="G42" s="140">
        <v>0</v>
      </c>
      <c r="H42" s="140">
        <v>364</v>
      </c>
      <c r="I42" s="140">
        <v>731</v>
      </c>
      <c r="J42" s="140">
        <v>1112</v>
      </c>
      <c r="K42" s="140">
        <v>1493</v>
      </c>
      <c r="L42" s="140">
        <v>344</v>
      </c>
      <c r="M42" s="140">
        <v>689</v>
      </c>
      <c r="N42" s="140">
        <v>1118</v>
      </c>
      <c r="O42" s="140">
        <v>1528</v>
      </c>
      <c r="P42" s="140">
        <v>371</v>
      </c>
      <c r="Q42" s="140">
        <v>711</v>
      </c>
      <c r="R42" s="140">
        <v>898</v>
      </c>
      <c r="S42" s="140">
        <v>1065</v>
      </c>
      <c r="T42" s="140">
        <v>151</v>
      </c>
      <c r="U42" s="140">
        <v>301</v>
      </c>
      <c r="V42" s="140">
        <v>449</v>
      </c>
      <c r="W42" s="140">
        <v>620</v>
      </c>
      <c r="X42" s="140">
        <v>345</v>
      </c>
      <c r="Y42" s="140">
        <v>19628</v>
      </c>
      <c r="AA42" s="200"/>
      <c r="AC42" s="200"/>
      <c r="AD42" s="200"/>
      <c r="AE42" s="200"/>
      <c r="AF42" s="200"/>
      <c r="AG42" s="200"/>
      <c r="AI42" s="132"/>
      <c r="AJ42" s="132"/>
      <c r="AK42" s="132"/>
      <c r="AL42" s="132"/>
      <c r="AM42" s="132"/>
      <c r="AN42" s="132"/>
      <c r="AO42" s="132"/>
      <c r="AP42" s="132"/>
      <c r="AQ42" s="132"/>
    </row>
    <row r="43" spans="1:43" ht="24.5" thickBot="1">
      <c r="A43" s="121" t="s">
        <v>361</v>
      </c>
      <c r="B43" s="123" t="s">
        <v>373</v>
      </c>
      <c r="C43" s="140">
        <v>611</v>
      </c>
      <c r="D43" s="140">
        <v>151</v>
      </c>
      <c r="E43" s="140">
        <v>620</v>
      </c>
      <c r="F43" s="140">
        <v>846</v>
      </c>
      <c r="G43" s="140">
        <v>1559</v>
      </c>
      <c r="H43" s="140">
        <v>537</v>
      </c>
      <c r="I43" s="140">
        <v>859</v>
      </c>
      <c r="J43" s="140">
        <v>1136</v>
      </c>
      <c r="K43" s="140">
        <v>1780</v>
      </c>
      <c r="L43" s="140">
        <v>460</v>
      </c>
      <c r="M43" s="140">
        <v>1933</v>
      </c>
      <c r="N43" s="140">
        <v>2474</v>
      </c>
      <c r="O43" s="140">
        <v>3033</v>
      </c>
      <c r="P43" s="140">
        <v>522</v>
      </c>
      <c r="Q43" s="140">
        <v>572</v>
      </c>
      <c r="R43" s="140">
        <v>782</v>
      </c>
      <c r="S43" s="140">
        <v>793</v>
      </c>
      <c r="T43" s="140">
        <v>15</v>
      </c>
      <c r="U43" s="140">
        <v>-56</v>
      </c>
      <c r="V43" s="140">
        <v>-109</v>
      </c>
      <c r="W43" s="140">
        <v>287</v>
      </c>
      <c r="X43" s="140">
        <v>2269</v>
      </c>
      <c r="Y43" s="140">
        <v>6780</v>
      </c>
      <c r="AA43" s="200"/>
      <c r="AC43" s="200"/>
      <c r="AD43" s="200"/>
      <c r="AE43" s="200"/>
      <c r="AF43" s="200"/>
      <c r="AG43" s="200"/>
      <c r="AI43" s="132"/>
      <c r="AJ43" s="132"/>
      <c r="AK43" s="132"/>
      <c r="AL43" s="132"/>
      <c r="AM43" s="132"/>
      <c r="AN43" s="132"/>
      <c r="AO43" s="132"/>
      <c r="AP43" s="132"/>
      <c r="AQ43" s="132"/>
    </row>
    <row r="44" spans="1:43" ht="15" thickBot="1">
      <c r="A44" s="121" t="s">
        <v>381</v>
      </c>
      <c r="B44" s="123" t="s">
        <v>374</v>
      </c>
      <c r="C44" s="140">
        <v>10170</v>
      </c>
      <c r="D44" s="140">
        <v>1895</v>
      </c>
      <c r="E44" s="140">
        <v>3973</v>
      </c>
      <c r="F44" s="140">
        <v>5751</v>
      </c>
      <c r="G44" s="140">
        <v>7018</v>
      </c>
      <c r="H44" s="140">
        <v>939</v>
      </c>
      <c r="I44" s="140">
        <v>2296</v>
      </c>
      <c r="J44" s="140">
        <v>4270</v>
      </c>
      <c r="K44" s="140">
        <v>5585</v>
      </c>
      <c r="L44" s="140">
        <v>1544</v>
      </c>
      <c r="M44" s="140">
        <v>7747</v>
      </c>
      <c r="N44" s="140">
        <v>10392</v>
      </c>
      <c r="O44" s="140">
        <v>12618</v>
      </c>
      <c r="P44" s="140">
        <v>5925</v>
      </c>
      <c r="Q44" s="140">
        <v>6439</v>
      </c>
      <c r="R44" s="140">
        <v>6437</v>
      </c>
      <c r="S44" s="140">
        <v>6436</v>
      </c>
      <c r="T44" s="140">
        <v>0</v>
      </c>
      <c r="U44" s="140">
        <v>0</v>
      </c>
      <c r="V44" s="140">
        <v>0</v>
      </c>
      <c r="W44" s="140">
        <v>461</v>
      </c>
      <c r="X44" s="140">
        <v>3191</v>
      </c>
      <c r="Y44" s="140">
        <v>9153</v>
      </c>
      <c r="AA44" s="200"/>
      <c r="AC44" s="200"/>
      <c r="AD44" s="200"/>
      <c r="AE44" s="200"/>
      <c r="AF44" s="200"/>
      <c r="AG44" s="200"/>
      <c r="AI44" s="132"/>
      <c r="AJ44" s="132"/>
      <c r="AK44" s="132"/>
      <c r="AL44" s="132"/>
      <c r="AM44" s="132"/>
      <c r="AN44" s="132"/>
      <c r="AO44" s="132"/>
      <c r="AP44" s="132"/>
      <c r="AQ44" s="132"/>
    </row>
    <row r="45" spans="1:43" ht="15" thickBot="1">
      <c r="A45" s="155" t="s">
        <v>34</v>
      </c>
      <c r="B45" s="156" t="s">
        <v>328</v>
      </c>
      <c r="C45" s="154">
        <v>333914</v>
      </c>
      <c r="D45" s="154">
        <v>77787</v>
      </c>
      <c r="E45" s="154">
        <v>156504</v>
      </c>
      <c r="F45" s="154">
        <v>233065</v>
      </c>
      <c r="G45" s="154">
        <v>305974</v>
      </c>
      <c r="H45" s="154">
        <v>67934</v>
      </c>
      <c r="I45" s="154">
        <v>132083</v>
      </c>
      <c r="J45" s="154">
        <v>198884</v>
      </c>
      <c r="K45" s="154">
        <v>266468</v>
      </c>
      <c r="L45" s="154">
        <v>64865</v>
      </c>
      <c r="M45" s="154">
        <v>132071</v>
      </c>
      <c r="N45" s="154">
        <v>200875</v>
      </c>
      <c r="O45" s="154">
        <v>269902</v>
      </c>
      <c r="P45" s="140">
        <v>64413</v>
      </c>
      <c r="Q45" s="140">
        <v>118000</v>
      </c>
      <c r="R45" s="140">
        <v>151283</v>
      </c>
      <c r="S45" s="140">
        <v>178716</v>
      </c>
      <c r="T45" s="140">
        <v>28055</v>
      </c>
      <c r="U45" s="140">
        <v>53045</v>
      </c>
      <c r="V45" s="140">
        <v>76409</v>
      </c>
      <c r="W45" s="140">
        <v>103664</v>
      </c>
      <c r="X45" s="140">
        <v>26449</v>
      </c>
      <c r="Y45" s="140">
        <v>62174</v>
      </c>
      <c r="AA45" s="200"/>
      <c r="AC45" s="200"/>
      <c r="AD45" s="200"/>
      <c r="AE45" s="200"/>
      <c r="AF45" s="200"/>
      <c r="AG45" s="200"/>
      <c r="AI45" s="132"/>
      <c r="AJ45" s="132"/>
      <c r="AK45" s="132"/>
      <c r="AL45" s="132"/>
      <c r="AM45" s="132"/>
      <c r="AN45" s="132"/>
      <c r="AO45" s="132"/>
      <c r="AP45" s="132"/>
      <c r="AQ45" s="132"/>
    </row>
    <row r="46" spans="1:43" ht="15" thickBot="1">
      <c r="A46" s="120" t="s">
        <v>382</v>
      </c>
      <c r="B46" s="120" t="s">
        <v>375</v>
      </c>
      <c r="C46" s="138">
        <f>+C47+C49</f>
        <v>5675</v>
      </c>
      <c r="D46" s="138">
        <f t="shared" ref="D46:G46" si="33">+D47+D49</f>
        <v>2077</v>
      </c>
      <c r="E46" s="138">
        <f t="shared" si="33"/>
        <v>4497</v>
      </c>
      <c r="F46" s="138">
        <f t="shared" si="33"/>
        <v>6484</v>
      </c>
      <c r="G46" s="138">
        <f t="shared" si="33"/>
        <v>9589</v>
      </c>
      <c r="H46" s="138">
        <f>+H47+H49+H48</f>
        <v>35788</v>
      </c>
      <c r="I46" s="138">
        <f t="shared" ref="I46:Y46" si="34">+I47+I49+I48</f>
        <v>79993</v>
      </c>
      <c r="J46" s="138">
        <f t="shared" si="34"/>
        <v>128513</v>
      </c>
      <c r="K46" s="138">
        <f t="shared" si="34"/>
        <v>177083</v>
      </c>
      <c r="L46" s="138">
        <f t="shared" si="34"/>
        <v>47108</v>
      </c>
      <c r="M46" s="138">
        <f t="shared" si="34"/>
        <v>88734</v>
      </c>
      <c r="N46" s="138">
        <f t="shared" si="34"/>
        <v>138860</v>
      </c>
      <c r="O46" s="138">
        <f t="shared" si="34"/>
        <v>189664</v>
      </c>
      <c r="P46" s="138">
        <f t="shared" si="34"/>
        <v>46413</v>
      </c>
      <c r="Q46" s="138">
        <f t="shared" si="34"/>
        <v>73305</v>
      </c>
      <c r="R46" s="138">
        <f t="shared" si="34"/>
        <v>90198.304999999993</v>
      </c>
      <c r="S46" s="138">
        <f t="shared" si="34"/>
        <v>108455</v>
      </c>
      <c r="T46" s="138">
        <f t="shared" si="34"/>
        <v>19629</v>
      </c>
      <c r="U46" s="138">
        <f t="shared" si="34"/>
        <v>41056</v>
      </c>
      <c r="V46" s="138">
        <f t="shared" si="34"/>
        <v>58567</v>
      </c>
      <c r="W46" s="138">
        <f t="shared" si="34"/>
        <v>63888</v>
      </c>
      <c r="X46" s="138">
        <f t="shared" si="34"/>
        <v>-6339</v>
      </c>
      <c r="Y46" s="138">
        <f t="shared" si="34"/>
        <v>-31399</v>
      </c>
      <c r="AA46" s="200"/>
      <c r="AC46" s="200"/>
      <c r="AD46" s="200"/>
      <c r="AE46" s="200"/>
      <c r="AF46" s="200"/>
      <c r="AG46" s="200"/>
      <c r="AI46" s="132"/>
      <c r="AJ46" s="132"/>
      <c r="AK46" s="132"/>
      <c r="AL46" s="132"/>
      <c r="AM46" s="132"/>
      <c r="AN46" s="132"/>
      <c r="AO46" s="132"/>
      <c r="AP46" s="132"/>
      <c r="AQ46" s="132"/>
    </row>
    <row r="47" spans="1:43" ht="24.5" thickBot="1">
      <c r="A47" s="121" t="s">
        <v>383</v>
      </c>
      <c r="B47" s="123" t="s">
        <v>376</v>
      </c>
      <c r="C47" s="140">
        <v>0</v>
      </c>
      <c r="D47" s="140">
        <v>0</v>
      </c>
      <c r="E47" s="140">
        <v>0</v>
      </c>
      <c r="F47" s="140">
        <v>0</v>
      </c>
      <c r="G47" s="140">
        <v>0</v>
      </c>
      <c r="H47" s="140">
        <v>23170</v>
      </c>
      <c r="I47" s="140">
        <v>46818</v>
      </c>
      <c r="J47" s="140">
        <v>72052</v>
      </c>
      <c r="K47" s="140">
        <v>98605</v>
      </c>
      <c r="L47" s="140">
        <v>26000</v>
      </c>
      <c r="M47" s="140">
        <v>53284</v>
      </c>
      <c r="N47" s="140">
        <v>83233</v>
      </c>
      <c r="O47" s="140">
        <v>114665</v>
      </c>
      <c r="P47" s="140">
        <v>30128</v>
      </c>
      <c r="Q47" s="140">
        <v>43210</v>
      </c>
      <c r="R47" s="140">
        <v>55073</v>
      </c>
      <c r="S47" s="140">
        <v>69934</v>
      </c>
      <c r="T47" s="140">
        <v>16670</v>
      </c>
      <c r="U47" s="140">
        <v>35218</v>
      </c>
      <c r="V47" s="140">
        <v>48969</v>
      </c>
      <c r="W47" s="140">
        <v>55372</v>
      </c>
      <c r="X47" s="140">
        <v>7674</v>
      </c>
      <c r="Y47" s="140">
        <v>16621</v>
      </c>
      <c r="AA47" s="200"/>
      <c r="AC47" s="200"/>
      <c r="AD47" s="200"/>
      <c r="AE47" s="200"/>
      <c r="AF47" s="200"/>
      <c r="AG47" s="200"/>
      <c r="AI47" s="132"/>
      <c r="AJ47" s="132"/>
      <c r="AK47" s="132"/>
      <c r="AL47" s="132"/>
      <c r="AM47" s="132"/>
      <c r="AN47" s="132"/>
      <c r="AO47" s="132"/>
      <c r="AP47" s="132"/>
      <c r="AQ47" s="132"/>
    </row>
    <row r="48" spans="1:43" s="161" customFormat="1" ht="24.5" thickBot="1">
      <c r="A48" s="155" t="s">
        <v>625</v>
      </c>
      <c r="B48" s="156" t="s">
        <v>626</v>
      </c>
      <c r="C48" s="154"/>
      <c r="D48" s="154"/>
      <c r="E48" s="154"/>
      <c r="F48" s="154"/>
      <c r="G48" s="154"/>
      <c r="H48" s="154">
        <v>8402</v>
      </c>
      <c r="I48" s="154">
        <v>24115</v>
      </c>
      <c r="J48" s="154">
        <v>42255</v>
      </c>
      <c r="K48" s="154">
        <v>60419</v>
      </c>
      <c r="L48" s="154">
        <v>16339</v>
      </c>
      <c r="M48" s="154">
        <v>28135</v>
      </c>
      <c r="N48" s="154">
        <v>45747</v>
      </c>
      <c r="O48" s="154">
        <v>62468</v>
      </c>
      <c r="P48" s="154">
        <v>13869</v>
      </c>
      <c r="Q48" s="154">
        <v>26630</v>
      </c>
      <c r="R48" s="154">
        <v>31256.305</v>
      </c>
      <c r="S48" s="154">
        <v>34460</v>
      </c>
      <c r="T48" s="154">
        <v>2794</v>
      </c>
      <c r="U48" s="154">
        <v>5552</v>
      </c>
      <c r="V48" s="154">
        <v>9164</v>
      </c>
      <c r="W48" s="154">
        <v>7902</v>
      </c>
      <c r="X48" s="154">
        <v>-14548</v>
      </c>
      <c r="Y48" s="154">
        <v>-49541</v>
      </c>
      <c r="Z48" s="253"/>
      <c r="AA48" s="201"/>
      <c r="AC48" s="201"/>
      <c r="AD48" s="201"/>
      <c r="AE48" s="201"/>
      <c r="AF48" s="201"/>
      <c r="AG48" s="201"/>
      <c r="AI48" s="160"/>
      <c r="AJ48" s="160"/>
      <c r="AK48" s="160"/>
      <c r="AL48" s="160"/>
      <c r="AM48" s="160"/>
      <c r="AN48" s="160"/>
      <c r="AO48" s="160"/>
      <c r="AP48" s="160"/>
      <c r="AQ48" s="160"/>
    </row>
    <row r="49" spans="1:43" ht="15" thickBot="1">
      <c r="A49" s="121" t="s">
        <v>384</v>
      </c>
      <c r="B49" s="123" t="s">
        <v>377</v>
      </c>
      <c r="C49" s="140">
        <v>5675</v>
      </c>
      <c r="D49" s="140">
        <v>2077</v>
      </c>
      <c r="E49" s="140">
        <v>4497</v>
      </c>
      <c r="F49" s="140">
        <v>6484</v>
      </c>
      <c r="G49" s="140">
        <v>9589</v>
      </c>
      <c r="H49" s="140">
        <v>4216</v>
      </c>
      <c r="I49" s="140">
        <v>9060</v>
      </c>
      <c r="J49" s="140">
        <v>14206</v>
      </c>
      <c r="K49" s="140">
        <v>18059</v>
      </c>
      <c r="L49" s="140">
        <v>4769</v>
      </c>
      <c r="M49" s="140">
        <v>7315</v>
      </c>
      <c r="N49" s="140">
        <v>9880</v>
      </c>
      <c r="O49" s="140">
        <v>12531</v>
      </c>
      <c r="P49" s="140">
        <v>2416</v>
      </c>
      <c r="Q49" s="140">
        <v>3465</v>
      </c>
      <c r="R49" s="140">
        <v>3869</v>
      </c>
      <c r="S49" s="140">
        <v>4061</v>
      </c>
      <c r="T49" s="140">
        <v>165</v>
      </c>
      <c r="U49" s="140">
        <v>286</v>
      </c>
      <c r="V49" s="140">
        <v>434</v>
      </c>
      <c r="W49" s="140">
        <v>614</v>
      </c>
      <c r="X49" s="140">
        <v>535</v>
      </c>
      <c r="Y49" s="140">
        <v>1521</v>
      </c>
      <c r="AA49" s="200"/>
      <c r="AC49" s="200"/>
      <c r="AD49" s="200"/>
      <c r="AE49" s="200"/>
      <c r="AF49" s="200"/>
      <c r="AG49" s="200"/>
      <c r="AI49" s="132"/>
      <c r="AJ49" s="132"/>
      <c r="AK49" s="132"/>
      <c r="AL49" s="132"/>
      <c r="AM49" s="132"/>
      <c r="AN49" s="132"/>
      <c r="AO49" s="132"/>
      <c r="AP49" s="132"/>
      <c r="AQ49" s="132"/>
    </row>
    <row r="50" spans="1:43" ht="15" thickBot="1">
      <c r="A50" s="122" t="s">
        <v>385</v>
      </c>
      <c r="B50" s="122" t="s">
        <v>156</v>
      </c>
      <c r="C50" s="141">
        <f t="shared" ref="C50:S50" si="35">+C46+C39+C37</f>
        <v>2277354</v>
      </c>
      <c r="D50" s="141">
        <f t="shared" si="35"/>
        <v>576350</v>
      </c>
      <c r="E50" s="141">
        <f t="shared" si="35"/>
        <v>1169772</v>
      </c>
      <c r="F50" s="141">
        <f t="shared" si="35"/>
        <v>1783024</v>
      </c>
      <c r="G50" s="141">
        <f t="shared" si="35"/>
        <v>2398938</v>
      </c>
      <c r="H50" s="141">
        <f t="shared" si="35"/>
        <v>617997</v>
      </c>
      <c r="I50" s="141">
        <f t="shared" si="35"/>
        <v>1258158</v>
      </c>
      <c r="J50" s="141">
        <f t="shared" si="35"/>
        <v>1923679</v>
      </c>
      <c r="K50" s="141">
        <f t="shared" si="35"/>
        <v>2622338</v>
      </c>
      <c r="L50" s="141">
        <f t="shared" si="35"/>
        <v>710898</v>
      </c>
      <c r="M50" s="141">
        <f t="shared" si="35"/>
        <v>1515632</v>
      </c>
      <c r="N50" s="141">
        <f t="shared" si="35"/>
        <v>2473412</v>
      </c>
      <c r="O50" s="141">
        <f t="shared" si="35"/>
        <v>3437304</v>
      </c>
      <c r="P50" s="141">
        <f t="shared" si="35"/>
        <v>941600</v>
      </c>
      <c r="Q50" s="141">
        <f t="shared" si="35"/>
        <v>1763714</v>
      </c>
      <c r="R50" s="141">
        <f t="shared" si="35"/>
        <v>2461336.3050000002</v>
      </c>
      <c r="S50" s="141">
        <f t="shared" si="35"/>
        <v>3126579</v>
      </c>
      <c r="T50" s="141">
        <f>+T46+T39+T37</f>
        <v>654932</v>
      </c>
      <c r="U50" s="141">
        <f t="shared" ref="U50:Y50" si="36">+U46+U39+U37</f>
        <v>1339896</v>
      </c>
      <c r="V50" s="141">
        <f t="shared" si="36"/>
        <v>2036306</v>
      </c>
      <c r="W50" s="141">
        <f t="shared" si="36"/>
        <v>2842093</v>
      </c>
      <c r="X50" s="141">
        <f t="shared" si="36"/>
        <v>1059315</v>
      </c>
      <c r="Y50" s="141">
        <f t="shared" si="36"/>
        <v>2551239</v>
      </c>
      <c r="AA50" s="200"/>
      <c r="AC50" s="200"/>
      <c r="AD50" s="200"/>
      <c r="AE50" s="200"/>
      <c r="AF50" s="200"/>
      <c r="AG50" s="200"/>
      <c r="AI50" s="132"/>
      <c r="AJ50" s="132"/>
      <c r="AK50" s="132"/>
      <c r="AL50" s="132"/>
      <c r="AM50" s="132"/>
      <c r="AN50" s="132"/>
      <c r="AO50" s="132"/>
      <c r="AP50" s="132"/>
      <c r="AQ50" s="132"/>
    </row>
    <row r="51" spans="1:43" ht="15" thickBot="1">
      <c r="B51"/>
      <c r="C51"/>
      <c r="D51"/>
      <c r="E51"/>
      <c r="F51"/>
      <c r="G51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AA51" s="200"/>
      <c r="AC51" s="200"/>
      <c r="AD51" s="200"/>
      <c r="AE51" s="200"/>
      <c r="AF51" s="200"/>
      <c r="AG51" s="200"/>
    </row>
    <row r="52" spans="1:43" s="194" customFormat="1" ht="24.5" thickBot="1">
      <c r="A52" s="196" t="s">
        <v>388</v>
      </c>
      <c r="B52" s="197"/>
      <c r="C52" s="188" t="s">
        <v>356</v>
      </c>
      <c r="D52" s="188" t="s">
        <v>262</v>
      </c>
      <c r="E52" s="188" t="s">
        <v>267</v>
      </c>
      <c r="F52" s="188" t="s">
        <v>275</v>
      </c>
      <c r="G52" s="188" t="s">
        <v>355</v>
      </c>
      <c r="H52" s="188" t="s">
        <v>285</v>
      </c>
      <c r="I52" s="188" t="s">
        <v>369</v>
      </c>
      <c r="J52" s="188" t="s">
        <v>404</v>
      </c>
      <c r="K52" s="188" t="s">
        <v>410</v>
      </c>
      <c r="L52" s="188" t="s">
        <v>412</v>
      </c>
      <c r="M52" s="188" t="s">
        <v>422</v>
      </c>
      <c r="N52" s="188" t="s">
        <v>427</v>
      </c>
      <c r="O52" s="188" t="s">
        <v>430</v>
      </c>
      <c r="P52" s="254" t="s">
        <v>510</v>
      </c>
      <c r="Q52" s="254" t="s">
        <v>591</v>
      </c>
      <c r="R52" s="254" t="s">
        <v>597</v>
      </c>
      <c r="S52" s="254" t="s">
        <v>608</v>
      </c>
      <c r="T52" s="254" t="s">
        <v>612</v>
      </c>
      <c r="U52" s="254" t="s">
        <v>618</v>
      </c>
      <c r="V52" s="254" t="s">
        <v>630</v>
      </c>
      <c r="W52" s="254" t="s">
        <v>637</v>
      </c>
      <c r="X52" s="254" t="s">
        <v>643</v>
      </c>
      <c r="Y52" s="254" t="s">
        <v>650</v>
      </c>
      <c r="Z52" s="193"/>
      <c r="AA52" s="200"/>
    </row>
    <row r="53" spans="1:43" ht="15" thickBot="1">
      <c r="A53" s="124" t="s">
        <v>335</v>
      </c>
      <c r="B53" s="117" t="s">
        <v>378</v>
      </c>
      <c r="C53" s="129">
        <f>+C54+C55+C56+C57+C58+C60</f>
        <v>-770981</v>
      </c>
      <c r="D53" s="129">
        <f t="shared" ref="D53:K53" si="37">+D54+D55+D56+D57+D58+D60</f>
        <v>-182763</v>
      </c>
      <c r="E53" s="129">
        <f t="shared" si="37"/>
        <v>-355331</v>
      </c>
      <c r="F53" s="129">
        <f t="shared" si="37"/>
        <v>-530209</v>
      </c>
      <c r="G53" s="129">
        <f t="shared" si="37"/>
        <v>-702075</v>
      </c>
      <c r="H53" s="129">
        <f t="shared" si="37"/>
        <v>-181234</v>
      </c>
      <c r="I53" s="129">
        <f t="shared" si="37"/>
        <v>-365072</v>
      </c>
      <c r="J53" s="129">
        <f t="shared" si="37"/>
        <v>-549406</v>
      </c>
      <c r="K53" s="129">
        <f t="shared" si="37"/>
        <v>-744163</v>
      </c>
      <c r="L53" s="129">
        <f t="shared" ref="L53:Y53" si="38">+L54+L55+L56+L57+L58+L60+L59</f>
        <v>-210527</v>
      </c>
      <c r="M53" s="129">
        <f t="shared" si="38"/>
        <v>-430889</v>
      </c>
      <c r="N53" s="129">
        <f t="shared" si="38"/>
        <v>-683439</v>
      </c>
      <c r="O53" s="129">
        <f t="shared" si="38"/>
        <v>-937756</v>
      </c>
      <c r="P53" s="129">
        <f t="shared" si="38"/>
        <v>-251958</v>
      </c>
      <c r="Q53" s="129">
        <f t="shared" si="38"/>
        <v>-433836</v>
      </c>
      <c r="R53" s="129">
        <f t="shared" si="38"/>
        <v>-502876</v>
      </c>
      <c r="S53" s="129">
        <f t="shared" si="38"/>
        <v>-543464</v>
      </c>
      <c r="T53" s="129">
        <f t="shared" si="38"/>
        <v>-32637</v>
      </c>
      <c r="U53" s="129">
        <f t="shared" si="38"/>
        <v>-62728</v>
      </c>
      <c r="V53" s="129">
        <f t="shared" si="38"/>
        <v>-90260</v>
      </c>
      <c r="W53" s="129">
        <f t="shared" si="38"/>
        <v>-128947</v>
      </c>
      <c r="X53" s="129">
        <f t="shared" si="38"/>
        <v>-98276</v>
      </c>
      <c r="Y53" s="129">
        <f t="shared" si="38"/>
        <v>-411318</v>
      </c>
      <c r="AA53" s="200"/>
      <c r="AC53" s="200"/>
      <c r="AD53" s="200"/>
      <c r="AI53" s="132"/>
      <c r="AJ53" s="132"/>
      <c r="AK53" s="132"/>
      <c r="AL53" s="132"/>
      <c r="AO53" s="132"/>
      <c r="AP53" s="132"/>
      <c r="AQ53" s="132"/>
    </row>
    <row r="54" spans="1:43" ht="24.5" thickBot="1">
      <c r="A54" s="121" t="s">
        <v>387</v>
      </c>
      <c r="B54" s="126" t="s">
        <v>338</v>
      </c>
      <c r="C54" s="133">
        <v>-23446</v>
      </c>
      <c r="D54" s="133">
        <v>-6393</v>
      </c>
      <c r="E54" s="133">
        <v>-13471</v>
      </c>
      <c r="F54" s="133">
        <v>-22478</v>
      </c>
      <c r="G54" s="133">
        <v>-29133</v>
      </c>
      <c r="H54" s="133">
        <v>-6313</v>
      </c>
      <c r="I54" s="133">
        <v>-9984</v>
      </c>
      <c r="J54" s="133">
        <v>-15476</v>
      </c>
      <c r="K54" s="133">
        <v>-21816</v>
      </c>
      <c r="L54" s="133">
        <v>-6709</v>
      </c>
      <c r="M54" s="133">
        <v>-14478</v>
      </c>
      <c r="N54" s="133">
        <v>-22137</v>
      </c>
      <c r="O54" s="133">
        <v>-29424</v>
      </c>
      <c r="P54" s="133">
        <v>-6333</v>
      </c>
      <c r="Q54" s="133">
        <v>-12209</v>
      </c>
      <c r="R54" s="133">
        <v>-15865</v>
      </c>
      <c r="S54" s="133">
        <v>-18043</v>
      </c>
      <c r="T54" s="133">
        <v>-1916</v>
      </c>
      <c r="U54" s="133">
        <v>-3517</v>
      </c>
      <c r="V54" s="133">
        <v>-4790</v>
      </c>
      <c r="W54" s="133">
        <v>-6619</v>
      </c>
      <c r="X54" s="133">
        <v>-6362</v>
      </c>
      <c r="Y54" s="133">
        <v>-14587</v>
      </c>
      <c r="AA54" s="200"/>
      <c r="AC54" s="200"/>
      <c r="AD54" s="200"/>
      <c r="AI54" s="132"/>
      <c r="AJ54" s="132"/>
      <c r="AK54" s="132"/>
      <c r="AL54" s="132"/>
      <c r="AO54" s="132"/>
      <c r="AP54" s="132"/>
      <c r="AQ54" s="132"/>
    </row>
    <row r="55" spans="1:43" ht="15" thickBot="1">
      <c r="A55" s="121" t="s">
        <v>339</v>
      </c>
      <c r="B55" s="126" t="s">
        <v>129</v>
      </c>
      <c r="C55" s="133">
        <v>-690045</v>
      </c>
      <c r="D55" s="133">
        <v>-160720</v>
      </c>
      <c r="E55" s="133">
        <v>-313778</v>
      </c>
      <c r="F55" s="133">
        <v>-465691</v>
      </c>
      <c r="G55" s="133">
        <v>-615992</v>
      </c>
      <c r="H55" s="133">
        <v>-158741</v>
      </c>
      <c r="I55" s="133">
        <v>-322940</v>
      </c>
      <c r="J55" s="133">
        <v>-485494</v>
      </c>
      <c r="K55" s="133">
        <v>-660422</v>
      </c>
      <c r="L55" s="133">
        <v>-182830</v>
      </c>
      <c r="M55" s="133">
        <v>-370947</v>
      </c>
      <c r="N55" s="133">
        <v>-587544</v>
      </c>
      <c r="O55" s="133">
        <v>-806973</v>
      </c>
      <c r="P55" s="133">
        <v>-215765</v>
      </c>
      <c r="Q55" s="133">
        <v>-369569</v>
      </c>
      <c r="R55" s="133">
        <v>-419570</v>
      </c>
      <c r="S55" s="133">
        <v>-444088</v>
      </c>
      <c r="T55" s="133">
        <v>-17700</v>
      </c>
      <c r="U55" s="133">
        <v>-33288</v>
      </c>
      <c r="V55" s="133">
        <v>-47005</v>
      </c>
      <c r="W55" s="133">
        <v>-68744</v>
      </c>
      <c r="X55" s="133">
        <v>-64577</v>
      </c>
      <c r="Y55" s="133">
        <v>-328627</v>
      </c>
      <c r="AA55" s="200"/>
      <c r="AC55" s="200"/>
      <c r="AD55" s="200"/>
      <c r="AI55" s="132"/>
      <c r="AJ55" s="132"/>
      <c r="AK55" s="132"/>
      <c r="AL55" s="132"/>
      <c r="AO55" s="132"/>
      <c r="AP55" s="132"/>
      <c r="AQ55" s="132"/>
    </row>
    <row r="56" spans="1:43" ht="15" thickBot="1">
      <c r="A56" s="121" t="s">
        <v>362</v>
      </c>
      <c r="B56" s="126" t="s">
        <v>374</v>
      </c>
      <c r="C56" s="133">
        <v>-10815</v>
      </c>
      <c r="D56" s="133">
        <v>-4225</v>
      </c>
      <c r="E56" s="133">
        <v>-7185</v>
      </c>
      <c r="F56" s="133">
        <v>-10925</v>
      </c>
      <c r="G56" s="133">
        <v>-14052</v>
      </c>
      <c r="H56" s="133">
        <v>-2117</v>
      </c>
      <c r="I56" s="133">
        <v>-4472</v>
      </c>
      <c r="J56" s="133">
        <v>-9440</v>
      </c>
      <c r="K56" s="133">
        <v>-11584</v>
      </c>
      <c r="L56" s="133">
        <v>-2479</v>
      </c>
      <c r="M56" s="133">
        <v>-3273</v>
      </c>
      <c r="N56" s="133">
        <v>-4414</v>
      </c>
      <c r="O56" s="133">
        <v>-5997</v>
      </c>
      <c r="P56" s="133">
        <v>-6302</v>
      </c>
      <c r="Q56" s="133">
        <v>-7674</v>
      </c>
      <c r="R56" s="133">
        <v>-7784</v>
      </c>
      <c r="S56" s="133">
        <v>-7795</v>
      </c>
      <c r="T56" s="133">
        <v>-5</v>
      </c>
      <c r="U56" s="133">
        <v>-9</v>
      </c>
      <c r="V56" s="133">
        <v>-48</v>
      </c>
      <c r="W56" s="133">
        <v>-1791</v>
      </c>
      <c r="X56" s="133">
        <v>-7197</v>
      </c>
      <c r="Y56" s="133">
        <v>-23631</v>
      </c>
      <c r="AA56" s="200"/>
      <c r="AC56" s="200"/>
      <c r="AD56" s="200"/>
      <c r="AI56" s="132"/>
      <c r="AJ56" s="132"/>
      <c r="AK56" s="132"/>
      <c r="AL56" s="132"/>
      <c r="AO56" s="132"/>
      <c r="AP56" s="132"/>
      <c r="AQ56" s="132"/>
    </row>
    <row r="57" spans="1:43" ht="15" thickBot="1">
      <c r="A57" s="121" t="s">
        <v>340</v>
      </c>
      <c r="B57" s="126" t="s">
        <v>341</v>
      </c>
      <c r="C57" s="133">
        <v>-33831</v>
      </c>
      <c r="D57" s="133">
        <v>-8467</v>
      </c>
      <c r="E57" s="133">
        <v>-15033</v>
      </c>
      <c r="F57" s="133">
        <v>-22364</v>
      </c>
      <c r="G57" s="133">
        <v>-29677</v>
      </c>
      <c r="H57" s="133">
        <v>-6969</v>
      </c>
      <c r="I57" s="133">
        <v>-13422</v>
      </c>
      <c r="J57" s="133">
        <v>-17544</v>
      </c>
      <c r="K57" s="133">
        <v>-21685</v>
      </c>
      <c r="L57" s="133">
        <v>-4125</v>
      </c>
      <c r="M57" s="133">
        <v>-9840</v>
      </c>
      <c r="N57" s="133">
        <v>-18169</v>
      </c>
      <c r="O57" s="133">
        <v>-26185</v>
      </c>
      <c r="P57" s="133">
        <v>-6045</v>
      </c>
      <c r="Q57" s="133">
        <v>-9679</v>
      </c>
      <c r="R57" s="133">
        <v>-11970</v>
      </c>
      <c r="S57" s="133">
        <v>-13790</v>
      </c>
      <c r="T57" s="133">
        <v>-1332</v>
      </c>
      <c r="U57" s="133">
        <v>-2364</v>
      </c>
      <c r="V57" s="133">
        <v>-3152</v>
      </c>
      <c r="W57" s="133">
        <v>-3769</v>
      </c>
      <c r="X57" s="133">
        <v>-317</v>
      </c>
      <c r="Y57" s="133">
        <v>-525</v>
      </c>
      <c r="AA57" s="200"/>
      <c r="AC57" s="200"/>
      <c r="AD57" s="200"/>
      <c r="AI57" s="132"/>
      <c r="AJ57" s="132"/>
      <c r="AK57" s="132"/>
      <c r="AL57" s="132"/>
      <c r="AO57" s="132"/>
      <c r="AP57" s="132"/>
      <c r="AQ57" s="132"/>
    </row>
    <row r="58" spans="1:43" ht="15" thickBot="1">
      <c r="A58" s="121" t="s">
        <v>48</v>
      </c>
      <c r="B58" s="126" t="s">
        <v>134</v>
      </c>
      <c r="C58" s="133">
        <v>-12844</v>
      </c>
      <c r="D58" s="133">
        <v>-2958</v>
      </c>
      <c r="E58" s="133">
        <v>-5864</v>
      </c>
      <c r="F58" s="133">
        <v>-8751</v>
      </c>
      <c r="G58" s="133">
        <v>-13221</v>
      </c>
      <c r="H58" s="133">
        <v>-7094</v>
      </c>
      <c r="I58" s="133">
        <v>-14254</v>
      </c>
      <c r="J58" s="133">
        <v>-21452</v>
      </c>
      <c r="K58" s="133">
        <v>-28656</v>
      </c>
      <c r="L58" s="133">
        <v>-12733</v>
      </c>
      <c r="M58" s="133">
        <v>-28594</v>
      </c>
      <c r="N58" s="133">
        <v>-45163</v>
      </c>
      <c r="O58" s="133">
        <v>-60936</v>
      </c>
      <c r="P58" s="133">
        <v>-15586</v>
      </c>
      <c r="Q58" s="133">
        <v>-30499</v>
      </c>
      <c r="R58" s="133">
        <v>-41467</v>
      </c>
      <c r="S58" s="133">
        <v>-51441</v>
      </c>
      <c r="T58" s="133">
        <v>-9641</v>
      </c>
      <c r="U58" s="133">
        <v>-19368</v>
      </c>
      <c r="V58" s="133">
        <v>-29202</v>
      </c>
      <c r="W58" s="133">
        <v>-40076</v>
      </c>
      <c r="X58" s="133">
        <v>-17819</v>
      </c>
      <c r="Y58" s="133">
        <v>-39949</v>
      </c>
      <c r="AA58" s="200"/>
      <c r="AB58" s="161"/>
      <c r="AC58" s="200"/>
      <c r="AD58" s="200"/>
      <c r="AI58" s="132"/>
      <c r="AJ58" s="132"/>
      <c r="AK58" s="132"/>
      <c r="AL58" s="132"/>
      <c r="AO58" s="132"/>
      <c r="AP58" s="132"/>
      <c r="AQ58" s="132"/>
    </row>
    <row r="59" spans="1:43" s="161" customFormat="1" ht="15" thickBot="1">
      <c r="A59" s="155" t="s">
        <v>414</v>
      </c>
      <c r="B59" s="157" t="s">
        <v>419</v>
      </c>
      <c r="C59" s="158"/>
      <c r="D59" s="158"/>
      <c r="E59" s="158"/>
      <c r="F59" s="158"/>
      <c r="G59" s="158"/>
      <c r="H59" s="159" t="s">
        <v>395</v>
      </c>
      <c r="I59" s="159" t="s">
        <v>395</v>
      </c>
      <c r="J59" s="159" t="s">
        <v>395</v>
      </c>
      <c r="K59" s="159" t="s">
        <v>395</v>
      </c>
      <c r="L59" s="158">
        <v>-1651</v>
      </c>
      <c r="M59" s="158">
        <v>-3668</v>
      </c>
      <c r="N59" s="158">
        <v>-5647</v>
      </c>
      <c r="O59" s="158">
        <v>-7876</v>
      </c>
      <c r="P59" s="133">
        <v>-1927</v>
      </c>
      <c r="Q59" s="133">
        <v>-4206</v>
      </c>
      <c r="R59" s="133">
        <v>-6220</v>
      </c>
      <c r="S59" s="133">
        <v>-8307</v>
      </c>
      <c r="T59" s="133">
        <v>-2043</v>
      </c>
      <c r="U59" s="133">
        <v>-4182</v>
      </c>
      <c r="V59" s="133">
        <v>-6063</v>
      </c>
      <c r="W59" s="133">
        <v>-7948</v>
      </c>
      <c r="X59" s="133">
        <v>-2004</v>
      </c>
      <c r="Y59" s="133">
        <v>-3999</v>
      </c>
      <c r="AA59" s="200"/>
      <c r="AC59" s="200"/>
      <c r="AD59" s="200"/>
      <c r="AI59" s="160"/>
      <c r="AJ59" s="160"/>
      <c r="AK59" s="160"/>
      <c r="AL59" s="160"/>
      <c r="AO59" s="160"/>
      <c r="AP59" s="160"/>
      <c r="AQ59" s="160"/>
    </row>
    <row r="60" spans="1:43" ht="15" thickBot="1">
      <c r="A60" s="121" t="s">
        <v>34</v>
      </c>
      <c r="B60" s="126" t="s">
        <v>328</v>
      </c>
      <c r="C60" s="135">
        <v>0</v>
      </c>
      <c r="D60" s="135">
        <v>0</v>
      </c>
      <c r="E60" s="135">
        <v>0</v>
      </c>
      <c r="F60" s="135">
        <v>0</v>
      </c>
      <c r="G60" s="135">
        <v>0</v>
      </c>
      <c r="H60" s="135">
        <v>0</v>
      </c>
      <c r="I60" s="135">
        <v>0</v>
      </c>
      <c r="J60" s="135">
        <v>0</v>
      </c>
      <c r="K60" s="135">
        <v>0</v>
      </c>
      <c r="L60" s="135">
        <v>0</v>
      </c>
      <c r="M60" s="135">
        <v>-89</v>
      </c>
      <c r="N60" s="135">
        <v>-365</v>
      </c>
      <c r="O60" s="135">
        <v>-365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35">
        <v>0</v>
      </c>
      <c r="V60" s="135">
        <v>0</v>
      </c>
      <c r="W60" s="135">
        <v>0</v>
      </c>
      <c r="X60" s="135">
        <v>0</v>
      </c>
      <c r="Y60" s="135">
        <v>0</v>
      </c>
      <c r="AA60" s="200"/>
      <c r="AC60" s="200"/>
      <c r="AD60" s="200"/>
      <c r="AI60" s="132"/>
      <c r="AJ60" s="132"/>
      <c r="AK60" s="132"/>
      <c r="AL60" s="132"/>
      <c r="AO60" s="132"/>
      <c r="AP60" s="132"/>
      <c r="AQ60" s="132"/>
    </row>
    <row r="61" spans="1:43" ht="15" thickBot="1">
      <c r="A61" s="125" t="s">
        <v>67</v>
      </c>
      <c r="B61" s="118" t="s">
        <v>354</v>
      </c>
      <c r="C61" s="133">
        <v>-535</v>
      </c>
      <c r="D61" s="133">
        <v>-99</v>
      </c>
      <c r="E61" s="133">
        <v>-184</v>
      </c>
      <c r="F61" s="133">
        <v>-277</v>
      </c>
      <c r="G61" s="133">
        <v>-395</v>
      </c>
      <c r="H61" s="133">
        <v>-70</v>
      </c>
      <c r="I61" s="133">
        <v>-140</v>
      </c>
      <c r="J61" s="133">
        <v>-212</v>
      </c>
      <c r="K61" s="133">
        <v>-281</v>
      </c>
      <c r="L61" s="133">
        <v>-40</v>
      </c>
      <c r="M61" s="133">
        <v>-81</v>
      </c>
      <c r="N61" s="133">
        <v>-121</v>
      </c>
      <c r="O61" s="133">
        <v>-161</v>
      </c>
      <c r="P61" s="133">
        <v>-6</v>
      </c>
      <c r="Q61" s="133">
        <v>-24</v>
      </c>
      <c r="R61" s="133">
        <v>-35</v>
      </c>
      <c r="S61" s="133">
        <v>-55</v>
      </c>
      <c r="T61" s="133">
        <v>-1</v>
      </c>
      <c r="U61" s="133">
        <v>-2</v>
      </c>
      <c r="V61" s="133">
        <v>-2</v>
      </c>
      <c r="W61" s="133">
        <v>-3</v>
      </c>
      <c r="X61" s="143">
        <v>0</v>
      </c>
      <c r="Y61" s="143">
        <v>0</v>
      </c>
      <c r="AA61" s="200"/>
      <c r="AC61" s="200"/>
      <c r="AD61" s="200"/>
      <c r="AI61" s="132"/>
      <c r="AJ61" s="132"/>
      <c r="AK61" s="132"/>
      <c r="AL61" s="132"/>
      <c r="AO61" s="132"/>
      <c r="AP61" s="132"/>
      <c r="AQ61" s="132"/>
    </row>
    <row r="62" spans="1:43" ht="15" thickBot="1">
      <c r="A62" s="122" t="s">
        <v>68</v>
      </c>
      <c r="B62" s="119" t="s">
        <v>156</v>
      </c>
      <c r="C62" s="137">
        <f>+C61+C53</f>
        <v>-771516</v>
      </c>
      <c r="D62" s="137">
        <f t="shared" ref="D62:Y62" si="39">+D61+D53</f>
        <v>-182862</v>
      </c>
      <c r="E62" s="137">
        <f t="shared" si="39"/>
        <v>-355515</v>
      </c>
      <c r="F62" s="137">
        <f t="shared" si="39"/>
        <v>-530486</v>
      </c>
      <c r="G62" s="137">
        <f t="shared" si="39"/>
        <v>-702470</v>
      </c>
      <c r="H62" s="137">
        <f t="shared" si="39"/>
        <v>-181304</v>
      </c>
      <c r="I62" s="137">
        <f t="shared" si="39"/>
        <v>-365212</v>
      </c>
      <c r="J62" s="137">
        <f t="shared" si="39"/>
        <v>-549618</v>
      </c>
      <c r="K62" s="137">
        <f t="shared" si="39"/>
        <v>-744444</v>
      </c>
      <c r="L62" s="137">
        <f t="shared" si="39"/>
        <v>-210567</v>
      </c>
      <c r="M62" s="137">
        <f t="shared" si="39"/>
        <v>-430970</v>
      </c>
      <c r="N62" s="137">
        <f t="shared" si="39"/>
        <v>-683560</v>
      </c>
      <c r="O62" s="137">
        <f t="shared" si="39"/>
        <v>-937917</v>
      </c>
      <c r="P62" s="137">
        <f t="shared" si="39"/>
        <v>-251964</v>
      </c>
      <c r="Q62" s="137">
        <f t="shared" si="39"/>
        <v>-433860</v>
      </c>
      <c r="R62" s="137">
        <f t="shared" si="39"/>
        <v>-502911</v>
      </c>
      <c r="S62" s="137">
        <f t="shared" si="39"/>
        <v>-543519</v>
      </c>
      <c r="T62" s="137">
        <f t="shared" si="39"/>
        <v>-32638</v>
      </c>
      <c r="U62" s="137">
        <f t="shared" si="39"/>
        <v>-62730</v>
      </c>
      <c r="V62" s="137">
        <f t="shared" si="39"/>
        <v>-90262</v>
      </c>
      <c r="W62" s="137">
        <f t="shared" si="39"/>
        <v>-128950</v>
      </c>
      <c r="X62" s="137">
        <f t="shared" si="39"/>
        <v>-98276</v>
      </c>
      <c r="Y62" s="137">
        <f t="shared" si="39"/>
        <v>-411318</v>
      </c>
      <c r="AA62" s="200"/>
      <c r="AC62" s="200"/>
      <c r="AD62" s="200"/>
      <c r="AI62" s="132"/>
      <c r="AJ62" s="132"/>
      <c r="AK62" s="132"/>
      <c r="AL62" s="132"/>
      <c r="AO62" s="132"/>
      <c r="AP62" s="132"/>
      <c r="AQ62" s="132"/>
    </row>
    <row r="63" spans="1:43">
      <c r="A63" s="162" t="s">
        <v>416</v>
      </c>
      <c r="B63" s="162" t="s">
        <v>415</v>
      </c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2"/>
      <c r="U63" s="132"/>
      <c r="V63" s="132"/>
      <c r="W63" s="132"/>
      <c r="X63" s="132"/>
      <c r="Y63" s="132"/>
      <c r="Z63" s="130"/>
      <c r="AA63" s="130"/>
      <c r="AB63" s="132"/>
      <c r="AC63" s="200"/>
      <c r="AD63" s="132"/>
      <c r="AE63" s="132"/>
      <c r="AF63" s="132"/>
      <c r="AG63" s="132"/>
      <c r="AH63" s="132"/>
      <c r="AI63" s="132"/>
      <c r="AO63" s="132"/>
      <c r="AP63" s="132"/>
      <c r="AQ63" s="132"/>
    </row>
    <row r="64" spans="1:43">
      <c r="AC64" s="200"/>
    </row>
    <row r="65" spans="28:29" customFormat="1">
      <c r="AC65" s="200"/>
    </row>
    <row r="66" spans="28:29" customFormat="1">
      <c r="AB66" s="161"/>
      <c r="AC66" s="200"/>
    </row>
  </sheetData>
  <pageMargins left="0.7" right="0.7" top="0.75" bottom="0.75" header="0.3" footer="0.3"/>
  <pageSetup paperSize="9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107"/>
  <sheetViews>
    <sheetView zoomScale="90" zoomScaleNormal="90" workbookViewId="0">
      <pane xSplit="2" ySplit="3" topLeftCell="AI4" activePane="bottomRight" state="frozenSplit"/>
      <selection pane="topRight" activeCell="C1" sqref="C1"/>
      <selection pane="bottomLeft" activeCell="A3" sqref="A3"/>
      <selection pane="bottomRight"/>
    </sheetView>
  </sheetViews>
  <sheetFormatPr defaultColWidth="8.75" defaultRowHeight="12" outlineLevelCol="1"/>
  <cols>
    <col min="1" max="1" width="33.58203125" style="110" customWidth="1"/>
    <col min="2" max="2" width="38.25" style="110" customWidth="1"/>
    <col min="3" max="9" width="12.25" style="1" hidden="1" customWidth="1" outlineLevel="1"/>
    <col min="10" max="10" width="10.58203125" style="1" hidden="1" customWidth="1" outlineLevel="1"/>
    <col min="11" max="11" width="12.25" style="1" hidden="1" customWidth="1" outlineLevel="1" collapsed="1"/>
    <col min="12" max="18" width="12.25" style="1" hidden="1" customWidth="1" outlineLevel="1"/>
    <col min="19" max="19" width="11.08203125" style="1" customWidth="1" collapsed="1"/>
    <col min="20" max="37" width="11.08203125" style="1" customWidth="1"/>
    <col min="38" max="38" width="12.25" style="1" customWidth="1"/>
    <col min="39" max="39" width="12.25" style="1" customWidth="1" collapsed="1"/>
    <col min="40" max="40" width="12.25" style="1" customWidth="1"/>
    <col min="41" max="41" width="12.25" style="1" customWidth="1" collapsed="1"/>
    <col min="42" max="44" width="12.25" style="1" customWidth="1"/>
    <col min="45" max="45" width="12.58203125" style="69" customWidth="1"/>
    <col min="46" max="46" width="9.75" style="69" customWidth="1"/>
    <col min="47" max="47" width="9.25" style="1" customWidth="1"/>
    <col min="48" max="48" width="9" style="69" customWidth="1"/>
    <col min="49" max="49" width="9.08203125" style="69" customWidth="1"/>
    <col min="50" max="50" width="9.25" style="69" customWidth="1"/>
    <col min="51" max="54" width="9.58203125" style="69" customWidth="1"/>
    <col min="55" max="55" width="2.33203125" style="69" customWidth="1"/>
    <col min="56" max="56" width="18.75" style="1" customWidth="1"/>
    <col min="57" max="16384" width="8.75" style="1"/>
  </cols>
  <sheetData>
    <row r="1" spans="1:56" ht="15.5">
      <c r="A1" s="109" t="s">
        <v>58</v>
      </c>
      <c r="AG1" s="28"/>
      <c r="AH1" s="28"/>
      <c r="AI1" s="28"/>
      <c r="AK1" s="28"/>
      <c r="AL1" s="28"/>
      <c r="AM1" s="28"/>
      <c r="AN1" s="28"/>
      <c r="AO1" s="28"/>
      <c r="AP1" s="28"/>
      <c r="AQ1" s="28"/>
      <c r="AR1" s="28"/>
      <c r="AU1" s="28"/>
    </row>
    <row r="2" spans="1:56" ht="15.5">
      <c r="A2" s="109" t="s">
        <v>473</v>
      </c>
      <c r="B2" s="1"/>
      <c r="P2" s="69"/>
      <c r="Q2" s="69"/>
      <c r="S2" s="69"/>
      <c r="T2" s="69"/>
      <c r="U2" s="69"/>
      <c r="V2" s="69"/>
      <c r="W2" s="69"/>
      <c r="X2" s="69"/>
      <c r="Y2" s="69"/>
      <c r="Z2" s="69"/>
      <c r="AA2" s="27"/>
      <c r="AB2" s="27"/>
      <c r="AC2" s="27"/>
      <c r="AD2" s="27"/>
      <c r="AE2" s="27"/>
      <c r="AF2" s="27"/>
      <c r="AJ2" s="27"/>
    </row>
    <row r="3" spans="1:56" s="190" customFormat="1" ht="24.5" thickBot="1">
      <c r="A3" s="171" t="s">
        <v>498</v>
      </c>
      <c r="B3" s="171" t="s">
        <v>170</v>
      </c>
      <c r="C3" s="188" t="s">
        <v>189</v>
      </c>
      <c r="D3" s="188" t="s">
        <v>191</v>
      </c>
      <c r="E3" s="188" t="s">
        <v>197</v>
      </c>
      <c r="F3" s="188" t="s">
        <v>215</v>
      </c>
      <c r="G3" s="188" t="s">
        <v>219</v>
      </c>
      <c r="H3" s="188" t="s">
        <v>237</v>
      </c>
      <c r="I3" s="188" t="s">
        <v>240</v>
      </c>
      <c r="J3" s="188" t="s">
        <v>243</v>
      </c>
      <c r="K3" s="188" t="s">
        <v>245</v>
      </c>
      <c r="L3" s="188" t="s">
        <v>253</v>
      </c>
      <c r="M3" s="188" t="s">
        <v>256</v>
      </c>
      <c r="N3" s="188" t="s">
        <v>260</v>
      </c>
      <c r="O3" s="188" t="s">
        <v>262</v>
      </c>
      <c r="P3" s="188" t="s">
        <v>273</v>
      </c>
      <c r="Q3" s="188" t="s">
        <v>276</v>
      </c>
      <c r="R3" s="188" t="s">
        <v>283</v>
      </c>
      <c r="S3" s="188" t="s">
        <v>285</v>
      </c>
      <c r="T3" s="188" t="s">
        <v>364</v>
      </c>
      <c r="U3" s="188" t="s">
        <v>403</v>
      </c>
      <c r="V3" s="188" t="s">
        <v>408</v>
      </c>
      <c r="W3" s="188" t="s">
        <v>411</v>
      </c>
      <c r="X3" s="188" t="s">
        <v>421</v>
      </c>
      <c r="Y3" s="188" t="s">
        <v>425</v>
      </c>
      <c r="Z3" s="188" t="s">
        <v>434</v>
      </c>
      <c r="AA3" s="254" t="s">
        <v>510</v>
      </c>
      <c r="AB3" s="254" t="s">
        <v>590</v>
      </c>
      <c r="AC3" s="254" t="s">
        <v>596</v>
      </c>
      <c r="AD3" s="254" t="s">
        <v>607</v>
      </c>
      <c r="AE3" s="254" t="s">
        <v>612</v>
      </c>
      <c r="AF3" s="254" t="s">
        <v>617</v>
      </c>
      <c r="AG3" s="254" t="s">
        <v>629</v>
      </c>
      <c r="AH3" s="254" t="s">
        <v>636</v>
      </c>
      <c r="AI3" s="254" t="s">
        <v>643</v>
      </c>
      <c r="AJ3" s="254" t="s">
        <v>651</v>
      </c>
      <c r="AT3" s="198"/>
      <c r="AU3" s="198"/>
      <c r="AW3" s="199"/>
      <c r="AX3" s="199"/>
      <c r="AY3" s="199"/>
      <c r="AZ3" s="199"/>
      <c r="BA3" s="199"/>
      <c r="BB3" s="199"/>
      <c r="BC3" s="199"/>
      <c r="BD3" s="199"/>
    </row>
    <row r="4" spans="1:56">
      <c r="A4" s="102" t="s">
        <v>59</v>
      </c>
      <c r="B4" s="111" t="s">
        <v>146</v>
      </c>
      <c r="C4" s="78">
        <v>23228</v>
      </c>
      <c r="D4" s="72">
        <v>23548</v>
      </c>
      <c r="E4" s="72">
        <v>23351</v>
      </c>
      <c r="F4" s="72">
        <v>22820</v>
      </c>
      <c r="G4" s="74">
        <v>21938</v>
      </c>
      <c r="H4" s="74">
        <v>21597</v>
      </c>
      <c r="I4" s="74">
        <v>22486</v>
      </c>
      <c r="J4" s="74">
        <v>20082</v>
      </c>
      <c r="K4" s="74">
        <v>19973</v>
      </c>
      <c r="L4" s="74">
        <v>20680</v>
      </c>
      <c r="M4" s="74">
        <v>20200</v>
      </c>
      <c r="N4" s="74">
        <v>20498</v>
      </c>
      <c r="O4" s="74">
        <v>19682</v>
      </c>
      <c r="P4" s="74">
        <v>19690</v>
      </c>
      <c r="Q4" s="74">
        <v>18680</v>
      </c>
      <c r="R4" s="74">
        <v>19661</v>
      </c>
      <c r="S4" s="74">
        <v>20547</v>
      </c>
      <c r="T4" s="74">
        <f t="shared" ref="T4:T13" si="0">+T45-S4</f>
        <v>20857</v>
      </c>
      <c r="U4" s="74">
        <f t="shared" ref="U4:V13" si="1">+U45-T45</f>
        <v>20763</v>
      </c>
      <c r="V4" s="74">
        <f t="shared" si="1"/>
        <v>18869</v>
      </c>
      <c r="W4" s="74">
        <f t="shared" ref="W4:W13" si="2">+W45</f>
        <v>22737.745640000001</v>
      </c>
      <c r="X4" s="74">
        <f t="shared" ref="X4:X13" si="3">+X45-W4</f>
        <v>22841.297939999997</v>
      </c>
      <c r="Y4" s="74">
        <f t="shared" ref="Y4:Z13" si="4">+Y45-X45</f>
        <v>23623.265910000002</v>
      </c>
      <c r="Z4" s="74">
        <f>+Z45-Y45</f>
        <v>23261.199469999992</v>
      </c>
      <c r="AA4" s="74">
        <f t="shared" ref="AA4:AA13" si="5">+AA45</f>
        <v>24333.426350000002</v>
      </c>
      <c r="AB4" s="74">
        <f t="shared" ref="AB4:AD13" si="6">+AB45-AA45</f>
        <v>23590.096019999997</v>
      </c>
      <c r="AC4" s="74">
        <f t="shared" si="6"/>
        <v>27500.660940000009</v>
      </c>
      <c r="AD4" s="74">
        <f t="shared" si="6"/>
        <v>26822.027709999995</v>
      </c>
      <c r="AE4" s="74">
        <f t="shared" ref="AE4:AE13" si="7">+AE45</f>
        <v>39152</v>
      </c>
      <c r="AF4" s="74">
        <f t="shared" ref="AF4:AH13" si="8">+AF45-AE45</f>
        <v>29427</v>
      </c>
      <c r="AG4" s="74">
        <f t="shared" si="8"/>
        <v>31340</v>
      </c>
      <c r="AH4" s="74">
        <f t="shared" si="8"/>
        <v>31557</v>
      </c>
      <c r="AI4" s="74">
        <f t="shared" ref="AI4:AI13" si="9">+AI45</f>
        <v>40489</v>
      </c>
      <c r="AJ4" s="74">
        <f t="shared" ref="AJ4:AJ13" si="10">+AJ45-AI45</f>
        <v>33043</v>
      </c>
      <c r="AS4" s="1"/>
      <c r="AU4" s="69"/>
      <c r="AV4" s="1"/>
      <c r="AW4" s="144"/>
      <c r="AX4" s="144"/>
      <c r="AY4" s="144"/>
      <c r="AZ4" s="144"/>
      <c r="BA4" s="144"/>
      <c r="BB4" s="144"/>
      <c r="BC4" s="144"/>
      <c r="BD4" s="144"/>
    </row>
    <row r="5" spans="1:56" ht="36">
      <c r="A5" s="102" t="s">
        <v>69</v>
      </c>
      <c r="B5" s="112" t="s">
        <v>147</v>
      </c>
      <c r="C5" s="79">
        <v>11334</v>
      </c>
      <c r="D5" s="73">
        <v>11635</v>
      </c>
      <c r="E5" s="73">
        <v>11803</v>
      </c>
      <c r="F5" s="73">
        <v>12064</v>
      </c>
      <c r="G5" s="71">
        <v>11661</v>
      </c>
      <c r="H5" s="71">
        <v>12389</v>
      </c>
      <c r="I5" s="71">
        <v>12473</v>
      </c>
      <c r="J5" s="71">
        <v>13127</v>
      </c>
      <c r="K5" s="71">
        <v>12558</v>
      </c>
      <c r="L5" s="71">
        <v>13519</v>
      </c>
      <c r="M5" s="71">
        <v>13607</v>
      </c>
      <c r="N5" s="71">
        <v>14171</v>
      </c>
      <c r="O5" s="71">
        <v>13952</v>
      </c>
      <c r="P5" s="71">
        <v>15290</v>
      </c>
      <c r="Q5" s="71">
        <v>16304</v>
      </c>
      <c r="R5" s="71">
        <v>17649</v>
      </c>
      <c r="S5" s="71">
        <v>18594</v>
      </c>
      <c r="T5" s="71">
        <f t="shared" si="0"/>
        <v>18318</v>
      </c>
      <c r="U5" s="71">
        <f t="shared" si="1"/>
        <v>18129</v>
      </c>
      <c r="V5" s="71">
        <f t="shared" si="1"/>
        <v>18641</v>
      </c>
      <c r="W5" s="71">
        <f t="shared" si="2"/>
        <v>17343.137999999999</v>
      </c>
      <c r="X5" s="71">
        <f t="shared" si="3"/>
        <v>18589.131999999998</v>
      </c>
      <c r="Y5" s="71">
        <f t="shared" si="4"/>
        <v>18893.518000000004</v>
      </c>
      <c r="Z5" s="71">
        <f t="shared" si="4"/>
        <v>17780.372999999992</v>
      </c>
      <c r="AA5" s="71">
        <f t="shared" si="5"/>
        <v>16471.522000000001</v>
      </c>
      <c r="AB5" s="265">
        <f t="shared" si="6"/>
        <v>15838.945</v>
      </c>
      <c r="AC5" s="265">
        <f t="shared" si="6"/>
        <v>17647.632999999998</v>
      </c>
      <c r="AD5" s="265">
        <f t="shared" si="6"/>
        <v>17779.879000000008</v>
      </c>
      <c r="AE5" s="71">
        <f t="shared" si="7"/>
        <v>18480</v>
      </c>
      <c r="AF5" s="71">
        <f t="shared" si="8"/>
        <v>19244</v>
      </c>
      <c r="AG5" s="71">
        <f t="shared" si="8"/>
        <v>20111</v>
      </c>
      <c r="AH5" s="71">
        <f t="shared" si="8"/>
        <v>21081</v>
      </c>
      <c r="AI5" s="71">
        <f t="shared" si="9"/>
        <v>21326</v>
      </c>
      <c r="AJ5" s="71">
        <f t="shared" si="10"/>
        <v>23050</v>
      </c>
      <c r="AS5" s="1"/>
      <c r="AU5" s="69"/>
      <c r="AV5" s="1"/>
      <c r="AW5" s="144"/>
      <c r="AX5" s="144"/>
      <c r="AY5" s="144"/>
      <c r="AZ5" s="144"/>
      <c r="BA5" s="144"/>
      <c r="BB5" s="144"/>
      <c r="BC5" s="144"/>
      <c r="BD5" s="144"/>
    </row>
    <row r="6" spans="1:56">
      <c r="A6" s="102" t="s">
        <v>60</v>
      </c>
      <c r="B6" s="112" t="s">
        <v>148</v>
      </c>
      <c r="C6" s="79">
        <v>22959</v>
      </c>
      <c r="D6" s="73">
        <v>20793</v>
      </c>
      <c r="E6" s="73">
        <v>19806</v>
      </c>
      <c r="F6" s="73">
        <v>22851</v>
      </c>
      <c r="G6" s="71">
        <v>28398</v>
      </c>
      <c r="H6" s="71">
        <v>29372</v>
      </c>
      <c r="I6" s="71">
        <v>30169</v>
      </c>
      <c r="J6" s="71">
        <v>30426</v>
      </c>
      <c r="K6" s="71">
        <v>35420</v>
      </c>
      <c r="L6" s="71">
        <v>35718</v>
      </c>
      <c r="M6" s="71">
        <v>33543</v>
      </c>
      <c r="N6" s="71">
        <v>35768</v>
      </c>
      <c r="O6" s="71">
        <v>38715</v>
      </c>
      <c r="P6" s="71">
        <v>36221</v>
      </c>
      <c r="Q6" s="71">
        <v>37947</v>
      </c>
      <c r="R6" s="71">
        <v>40332</v>
      </c>
      <c r="S6" s="71">
        <v>41547</v>
      </c>
      <c r="T6" s="71">
        <f t="shared" si="0"/>
        <v>40044</v>
      </c>
      <c r="U6" s="71">
        <f t="shared" si="1"/>
        <v>39864</v>
      </c>
      <c r="V6" s="71">
        <f t="shared" si="1"/>
        <v>45093</v>
      </c>
      <c r="W6" s="71">
        <f t="shared" si="2"/>
        <v>40999.763980000003</v>
      </c>
      <c r="X6" s="71">
        <f t="shared" si="3"/>
        <v>42774.221959999981</v>
      </c>
      <c r="Y6" s="71">
        <f t="shared" si="4"/>
        <v>51619.176240000001</v>
      </c>
      <c r="Z6" s="71">
        <f t="shared" si="4"/>
        <v>56538.680069999973</v>
      </c>
      <c r="AA6" s="71">
        <f t="shared" si="5"/>
        <v>50317.006620000007</v>
      </c>
      <c r="AB6" s="265">
        <f t="shared" si="6"/>
        <v>44357.993379999993</v>
      </c>
      <c r="AC6" s="265">
        <f t="shared" si="6"/>
        <v>46222</v>
      </c>
      <c r="AD6" s="265">
        <f t="shared" si="6"/>
        <v>50443</v>
      </c>
      <c r="AE6" s="71">
        <f t="shared" si="7"/>
        <v>50876</v>
      </c>
      <c r="AF6" s="71">
        <f t="shared" si="8"/>
        <v>53751</v>
      </c>
      <c r="AG6" s="71">
        <f t="shared" si="8"/>
        <v>51781</v>
      </c>
      <c r="AH6" s="71">
        <f t="shared" si="8"/>
        <v>56064</v>
      </c>
      <c r="AI6" s="71">
        <f t="shared" si="9"/>
        <v>59976</v>
      </c>
      <c r="AJ6" s="71">
        <f t="shared" si="10"/>
        <v>57016</v>
      </c>
      <c r="AS6" s="1"/>
      <c r="AU6" s="69"/>
      <c r="AV6" s="1"/>
      <c r="BD6" s="69"/>
    </row>
    <row r="7" spans="1:56">
      <c r="A7" s="102" t="s">
        <v>61</v>
      </c>
      <c r="B7" s="112" t="s">
        <v>149</v>
      </c>
      <c r="C7" s="79">
        <v>3602</v>
      </c>
      <c r="D7" s="73">
        <v>3120</v>
      </c>
      <c r="E7" s="73">
        <v>2991</v>
      </c>
      <c r="F7" s="73">
        <v>3066</v>
      </c>
      <c r="G7" s="71">
        <v>3576</v>
      </c>
      <c r="H7" s="71">
        <v>3019</v>
      </c>
      <c r="I7" s="71">
        <v>2902</v>
      </c>
      <c r="J7" s="71">
        <v>3020</v>
      </c>
      <c r="K7" s="71">
        <v>3748</v>
      </c>
      <c r="L7" s="71">
        <v>2921</v>
      </c>
      <c r="M7" s="71">
        <v>2617</v>
      </c>
      <c r="N7" s="71">
        <v>2975</v>
      </c>
      <c r="O7" s="71">
        <v>3640</v>
      </c>
      <c r="P7" s="71">
        <v>2899</v>
      </c>
      <c r="Q7" s="71">
        <v>2871</v>
      </c>
      <c r="R7" s="71">
        <v>2748</v>
      </c>
      <c r="S7" s="71">
        <v>3810</v>
      </c>
      <c r="T7" s="71">
        <f t="shared" si="0"/>
        <v>3355</v>
      </c>
      <c r="U7" s="71">
        <f t="shared" si="1"/>
        <v>3610</v>
      </c>
      <c r="V7" s="71">
        <f t="shared" si="1"/>
        <v>4397</v>
      </c>
      <c r="W7" s="71">
        <f t="shared" si="2"/>
        <v>3569.0448099999999</v>
      </c>
      <c r="X7" s="71">
        <f t="shared" si="3"/>
        <v>3168.70145</v>
      </c>
      <c r="Y7" s="71">
        <f t="shared" si="4"/>
        <v>3524.0169999999998</v>
      </c>
      <c r="Z7" s="71">
        <f t="shared" si="4"/>
        <v>3528.3346700000002</v>
      </c>
      <c r="AA7" s="71">
        <f t="shared" si="5"/>
        <v>3759.0601299999998</v>
      </c>
      <c r="AB7" s="265">
        <f t="shared" si="6"/>
        <v>3191.4981200000002</v>
      </c>
      <c r="AC7" s="265">
        <f t="shared" si="6"/>
        <v>3382.5272100000002</v>
      </c>
      <c r="AD7" s="265">
        <f t="shared" si="6"/>
        <v>3465.6883600000001</v>
      </c>
      <c r="AE7" s="71">
        <f t="shared" si="7"/>
        <v>3229</v>
      </c>
      <c r="AF7" s="71">
        <f t="shared" si="8"/>
        <v>3430</v>
      </c>
      <c r="AG7" s="71">
        <f t="shared" si="8"/>
        <v>3269</v>
      </c>
      <c r="AH7" s="71">
        <f t="shared" si="8"/>
        <v>3497</v>
      </c>
      <c r="AI7" s="71">
        <f t="shared" si="9"/>
        <v>3876</v>
      </c>
      <c r="AJ7" s="71">
        <f t="shared" si="10"/>
        <v>3186</v>
      </c>
      <c r="AS7" s="1"/>
      <c r="AU7" s="69"/>
      <c r="AV7" s="1"/>
      <c r="BD7" s="69"/>
    </row>
    <row r="8" spans="1:56">
      <c r="A8" s="102" t="s">
        <v>62</v>
      </c>
      <c r="B8" s="112" t="s">
        <v>150</v>
      </c>
      <c r="C8" s="79">
        <v>50299</v>
      </c>
      <c r="D8" s="73">
        <v>53692</v>
      </c>
      <c r="E8" s="73">
        <v>39535</v>
      </c>
      <c r="F8" s="73">
        <v>39491</v>
      </c>
      <c r="G8" s="71">
        <v>32451</v>
      </c>
      <c r="H8" s="71">
        <v>33420</v>
      </c>
      <c r="I8" s="71">
        <v>34524</v>
      </c>
      <c r="J8" s="71">
        <v>34664</v>
      </c>
      <c r="K8" s="71">
        <v>34377</v>
      </c>
      <c r="L8" s="71">
        <v>36490</v>
      </c>
      <c r="M8" s="71">
        <v>38761</v>
      </c>
      <c r="N8" s="71">
        <v>38188</v>
      </c>
      <c r="O8" s="71">
        <v>38042</v>
      </c>
      <c r="P8" s="71">
        <v>40616</v>
      </c>
      <c r="Q8" s="71">
        <v>41998</v>
      </c>
      <c r="R8" s="71">
        <v>41423</v>
      </c>
      <c r="S8" s="71">
        <v>40386</v>
      </c>
      <c r="T8" s="71">
        <f t="shared" si="0"/>
        <v>43509</v>
      </c>
      <c r="U8" s="71">
        <f t="shared" si="1"/>
        <v>46081</v>
      </c>
      <c r="V8" s="71">
        <f t="shared" si="1"/>
        <v>47768</v>
      </c>
      <c r="W8" s="71">
        <f t="shared" si="2"/>
        <v>44275.826000000001</v>
      </c>
      <c r="X8" s="71">
        <f t="shared" si="3"/>
        <v>49785.138229999997</v>
      </c>
      <c r="Y8" s="71">
        <f t="shared" si="4"/>
        <v>56946.12264999999</v>
      </c>
      <c r="Z8" s="71">
        <f t="shared" si="4"/>
        <v>54815.535000000003</v>
      </c>
      <c r="AA8" s="71">
        <f t="shared" si="5"/>
        <v>53979.125999999997</v>
      </c>
      <c r="AB8" s="265">
        <f t="shared" si="6"/>
        <v>50279.470999999998</v>
      </c>
      <c r="AC8" s="265">
        <f t="shared" si="6"/>
        <v>57033.563999999998</v>
      </c>
      <c r="AD8" s="265">
        <f t="shared" si="6"/>
        <v>59793.580000000016</v>
      </c>
      <c r="AE8" s="71">
        <f t="shared" si="7"/>
        <v>51735</v>
      </c>
      <c r="AF8" s="71">
        <f t="shared" si="8"/>
        <v>57091</v>
      </c>
      <c r="AG8" s="71">
        <f t="shared" si="8"/>
        <v>63886</v>
      </c>
      <c r="AH8" s="71">
        <f t="shared" si="8"/>
        <v>62867</v>
      </c>
      <c r="AI8" s="71">
        <f t="shared" si="9"/>
        <v>60960</v>
      </c>
      <c r="AJ8" s="71">
        <f t="shared" si="10"/>
        <v>67519</v>
      </c>
      <c r="AS8" s="1"/>
      <c r="AU8" s="69"/>
      <c r="AV8" s="1"/>
      <c r="BD8" s="69"/>
    </row>
    <row r="9" spans="1:56">
      <c r="A9" s="102" t="s">
        <v>63</v>
      </c>
      <c r="B9" s="112" t="s">
        <v>151</v>
      </c>
      <c r="C9" s="79">
        <v>12465</v>
      </c>
      <c r="D9" s="73">
        <v>23605</v>
      </c>
      <c r="E9" s="73">
        <v>24738</v>
      </c>
      <c r="F9" s="73">
        <v>15358</v>
      </c>
      <c r="G9" s="71">
        <v>27072</v>
      </c>
      <c r="H9" s="71">
        <v>13956</v>
      </c>
      <c r="I9" s="71">
        <v>21336</v>
      </c>
      <c r="J9" s="71">
        <v>21033</v>
      </c>
      <c r="K9" s="71">
        <v>11666</v>
      </c>
      <c r="L9" s="71">
        <v>14034</v>
      </c>
      <c r="M9" s="71">
        <v>19731</v>
      </c>
      <c r="N9" s="71">
        <v>22021</v>
      </c>
      <c r="O9" s="71">
        <v>24736</v>
      </c>
      <c r="P9" s="71">
        <v>24168</v>
      </c>
      <c r="Q9" s="71">
        <v>24620</v>
      </c>
      <c r="R9" s="71">
        <v>25075</v>
      </c>
      <c r="S9" s="71">
        <v>29978</v>
      </c>
      <c r="T9" s="71">
        <f t="shared" si="0"/>
        <v>23978</v>
      </c>
      <c r="U9" s="71">
        <f t="shared" si="1"/>
        <v>24643</v>
      </c>
      <c r="V9" s="71">
        <f t="shared" si="1"/>
        <v>24134</v>
      </c>
      <c r="W9" s="71">
        <f t="shared" si="2"/>
        <v>29715.326420000001</v>
      </c>
      <c r="X9" s="71">
        <f t="shared" si="3"/>
        <v>40096.147590000008</v>
      </c>
      <c r="Y9" s="71">
        <f t="shared" si="4"/>
        <v>39736.794669999988</v>
      </c>
      <c r="Z9" s="71">
        <f t="shared" si="4"/>
        <v>38846.208050000001</v>
      </c>
      <c r="AA9" s="71">
        <f t="shared" si="5"/>
        <v>55542.415390000002</v>
      </c>
      <c r="AB9" s="265">
        <f t="shared" si="6"/>
        <v>45309.584609999998</v>
      </c>
      <c r="AC9" s="265">
        <f t="shared" si="6"/>
        <v>35566</v>
      </c>
      <c r="AD9" s="265">
        <f t="shared" si="6"/>
        <v>33303</v>
      </c>
      <c r="AE9" s="71">
        <f t="shared" si="7"/>
        <v>38710</v>
      </c>
      <c r="AF9" s="71">
        <f t="shared" si="8"/>
        <v>44178</v>
      </c>
      <c r="AG9" s="71">
        <f t="shared" si="8"/>
        <v>35667</v>
      </c>
      <c r="AH9" s="71">
        <f t="shared" si="8"/>
        <v>38269</v>
      </c>
      <c r="AI9" s="71">
        <f t="shared" si="9"/>
        <v>41136</v>
      </c>
      <c r="AJ9" s="71">
        <f t="shared" si="10"/>
        <v>42438</v>
      </c>
      <c r="AS9" s="1"/>
      <c r="AU9" s="69"/>
      <c r="AV9" s="1"/>
      <c r="BD9" s="69"/>
    </row>
    <row r="10" spans="1:56" ht="24">
      <c r="A10" s="102" t="s">
        <v>64</v>
      </c>
      <c r="B10" s="112" t="s">
        <v>152</v>
      </c>
      <c r="C10" s="79">
        <v>21569</v>
      </c>
      <c r="D10" s="73">
        <v>20269</v>
      </c>
      <c r="E10" s="73">
        <v>21561</v>
      </c>
      <c r="F10" s="73">
        <v>20389</v>
      </c>
      <c r="G10" s="71">
        <v>22217</v>
      </c>
      <c r="H10" s="71">
        <v>28392</v>
      </c>
      <c r="I10" s="71">
        <v>22227</v>
      </c>
      <c r="J10" s="71">
        <v>14547</v>
      </c>
      <c r="K10" s="71">
        <v>14266</v>
      </c>
      <c r="L10" s="71">
        <v>17032</v>
      </c>
      <c r="M10" s="71">
        <v>20989</v>
      </c>
      <c r="N10" s="71">
        <v>21328</v>
      </c>
      <c r="O10" s="71">
        <v>23562</v>
      </c>
      <c r="P10" s="71">
        <v>22214</v>
      </c>
      <c r="Q10" s="71">
        <v>21602</v>
      </c>
      <c r="R10" s="71">
        <v>21834</v>
      </c>
      <c r="S10" s="71">
        <v>17636</v>
      </c>
      <c r="T10" s="71">
        <f t="shared" si="0"/>
        <v>19126</v>
      </c>
      <c r="U10" s="71">
        <f t="shared" si="1"/>
        <v>18625</v>
      </c>
      <c r="V10" s="71">
        <f t="shared" si="1"/>
        <v>13228</v>
      </c>
      <c r="W10" s="71">
        <f t="shared" si="2"/>
        <v>14893.317499999999</v>
      </c>
      <c r="X10" s="71">
        <f t="shared" si="3"/>
        <v>15943.773600000002</v>
      </c>
      <c r="Y10" s="71">
        <f t="shared" si="4"/>
        <v>15362.571499999995</v>
      </c>
      <c r="Z10" s="71">
        <f t="shared" si="4"/>
        <v>14476.967400000001</v>
      </c>
      <c r="AA10" s="71">
        <f t="shared" si="5"/>
        <v>14431.624099999999</v>
      </c>
      <c r="AB10" s="265">
        <f t="shared" si="6"/>
        <v>14555.054700000002</v>
      </c>
      <c r="AC10" s="265">
        <f t="shared" si="6"/>
        <v>18615.659899999999</v>
      </c>
      <c r="AD10" s="265">
        <f t="shared" si="6"/>
        <v>18356.736500000006</v>
      </c>
      <c r="AE10" s="71">
        <f t="shared" si="7"/>
        <v>17153</v>
      </c>
      <c r="AF10" s="71">
        <f t="shared" si="8"/>
        <v>17664</v>
      </c>
      <c r="AG10" s="71">
        <f t="shared" si="8"/>
        <v>15062</v>
      </c>
      <c r="AH10" s="71">
        <f t="shared" si="8"/>
        <v>13997</v>
      </c>
      <c r="AI10" s="71">
        <f t="shared" si="9"/>
        <v>11351</v>
      </c>
      <c r="AJ10" s="71">
        <f t="shared" si="10"/>
        <v>9407</v>
      </c>
      <c r="AS10" s="1"/>
      <c r="AU10" s="69"/>
      <c r="AV10" s="1"/>
      <c r="BD10" s="69"/>
    </row>
    <row r="11" spans="1:56">
      <c r="A11" s="102" t="s">
        <v>65</v>
      </c>
      <c r="B11" s="112" t="s">
        <v>153</v>
      </c>
      <c r="C11" s="79">
        <v>5717</v>
      </c>
      <c r="D11" s="73">
        <v>4482</v>
      </c>
      <c r="E11" s="73">
        <v>4554</v>
      </c>
      <c r="F11" s="73">
        <v>4861</v>
      </c>
      <c r="G11" s="71">
        <v>6544</v>
      </c>
      <c r="H11" s="71">
        <v>4320</v>
      </c>
      <c r="I11" s="71">
        <v>4598</v>
      </c>
      <c r="J11" s="71">
        <v>5003</v>
      </c>
      <c r="K11" s="71">
        <v>4387</v>
      </c>
      <c r="L11" s="71">
        <v>5003</v>
      </c>
      <c r="M11" s="71">
        <v>5079</v>
      </c>
      <c r="N11" s="71">
        <v>5845</v>
      </c>
      <c r="O11" s="71">
        <v>5847</v>
      </c>
      <c r="P11" s="71">
        <v>5044</v>
      </c>
      <c r="Q11" s="71">
        <v>4853</v>
      </c>
      <c r="R11" s="71">
        <v>6005</v>
      </c>
      <c r="S11" s="71">
        <v>4884</v>
      </c>
      <c r="T11" s="71">
        <f t="shared" si="0"/>
        <v>4787</v>
      </c>
      <c r="U11" s="71">
        <f t="shared" si="1"/>
        <v>4235</v>
      </c>
      <c r="V11" s="71">
        <f t="shared" si="1"/>
        <v>3854</v>
      </c>
      <c r="W11" s="71">
        <f t="shared" si="2"/>
        <v>3576.8579</v>
      </c>
      <c r="X11" s="71">
        <f t="shared" si="3"/>
        <v>3177.7955000000002</v>
      </c>
      <c r="Y11" s="71">
        <f t="shared" si="4"/>
        <v>3229.7206999999989</v>
      </c>
      <c r="Z11" s="71">
        <f t="shared" si="4"/>
        <v>3377.6343000000015</v>
      </c>
      <c r="AA11" s="71">
        <f t="shared" si="5"/>
        <v>4430.9113000000007</v>
      </c>
      <c r="AB11" s="265">
        <f t="shared" si="6"/>
        <v>5031.5155000000004</v>
      </c>
      <c r="AC11" s="265">
        <f t="shared" si="6"/>
        <v>4757.0876999999982</v>
      </c>
      <c r="AD11" s="265">
        <f t="shared" si="6"/>
        <v>4939.9289000000008</v>
      </c>
      <c r="AE11" s="71">
        <f t="shared" si="7"/>
        <v>5070</v>
      </c>
      <c r="AF11" s="71">
        <f t="shared" si="8"/>
        <v>4187</v>
      </c>
      <c r="AG11" s="71">
        <f t="shared" si="8"/>
        <v>3682</v>
      </c>
      <c r="AH11" s="71">
        <f t="shared" si="8"/>
        <v>4320</v>
      </c>
      <c r="AI11" s="71">
        <f t="shared" si="9"/>
        <v>5002</v>
      </c>
      <c r="AJ11" s="71">
        <f t="shared" si="10"/>
        <v>2697</v>
      </c>
      <c r="AS11" s="1"/>
      <c r="AU11" s="69"/>
      <c r="AV11" s="1"/>
      <c r="BD11" s="69"/>
    </row>
    <row r="12" spans="1:56" ht="24">
      <c r="A12" s="102" t="s">
        <v>66</v>
      </c>
      <c r="B12" s="112" t="s">
        <v>154</v>
      </c>
      <c r="C12" s="79">
        <v>20823</v>
      </c>
      <c r="D12" s="73">
        <v>20611</v>
      </c>
      <c r="E12" s="73">
        <v>20616</v>
      </c>
      <c r="F12" s="73">
        <v>20383</v>
      </c>
      <c r="G12" s="71">
        <v>20487</v>
      </c>
      <c r="H12" s="71">
        <v>22878</v>
      </c>
      <c r="I12" s="71">
        <v>22245</v>
      </c>
      <c r="J12" s="71">
        <v>21345</v>
      </c>
      <c r="K12" s="71">
        <v>19587</v>
      </c>
      <c r="L12" s="71">
        <v>19777</v>
      </c>
      <c r="M12" s="71">
        <v>19934</v>
      </c>
      <c r="N12" s="71">
        <v>20429</v>
      </c>
      <c r="O12" s="71">
        <v>21030</v>
      </c>
      <c r="P12" s="71">
        <v>22877</v>
      </c>
      <c r="Q12" s="71">
        <v>24181</v>
      </c>
      <c r="R12" s="71">
        <v>24488</v>
      </c>
      <c r="S12" s="71">
        <v>24013</v>
      </c>
      <c r="T12" s="71">
        <f t="shared" si="0"/>
        <v>23604</v>
      </c>
      <c r="U12" s="71">
        <f t="shared" si="1"/>
        <v>21518</v>
      </c>
      <c r="V12" s="71">
        <f t="shared" si="1"/>
        <v>18981</v>
      </c>
      <c r="W12" s="71">
        <f t="shared" si="2"/>
        <v>18341.309799999999</v>
      </c>
      <c r="X12" s="71">
        <f t="shared" si="3"/>
        <v>19110.8403</v>
      </c>
      <c r="Y12" s="71">
        <f t="shared" si="4"/>
        <v>19188.780200000001</v>
      </c>
      <c r="Z12" s="71">
        <f t="shared" si="4"/>
        <v>19025.205599999994</v>
      </c>
      <c r="AA12" s="71">
        <f t="shared" si="5"/>
        <v>17565.199000000001</v>
      </c>
      <c r="AB12" s="71">
        <f t="shared" si="6"/>
        <v>14612.2624</v>
      </c>
      <c r="AC12" s="71">
        <f t="shared" si="6"/>
        <v>16698.353000000003</v>
      </c>
      <c r="AD12" s="71">
        <f t="shared" si="6"/>
        <v>18065.423800000004</v>
      </c>
      <c r="AE12" s="71">
        <f t="shared" si="7"/>
        <v>15189</v>
      </c>
      <c r="AF12" s="71">
        <f t="shared" si="8"/>
        <v>17419</v>
      </c>
      <c r="AG12" s="71">
        <f t="shared" si="8"/>
        <v>19526</v>
      </c>
      <c r="AH12" s="71">
        <f t="shared" si="8"/>
        <v>20556</v>
      </c>
      <c r="AI12" s="71">
        <f t="shared" si="9"/>
        <v>16433</v>
      </c>
      <c r="AJ12" s="71">
        <f t="shared" si="10"/>
        <v>13747</v>
      </c>
      <c r="AS12" s="1"/>
      <c r="AU12" s="69"/>
      <c r="AV12" s="1"/>
      <c r="BD12" s="69"/>
    </row>
    <row r="13" spans="1:56" ht="12.5" thickBot="1">
      <c r="A13" s="102" t="s">
        <v>67</v>
      </c>
      <c r="B13" s="112" t="s">
        <v>155</v>
      </c>
      <c r="C13" s="80">
        <v>2843</v>
      </c>
      <c r="D13" s="73">
        <v>2832</v>
      </c>
      <c r="E13" s="73">
        <v>2854</v>
      </c>
      <c r="F13" s="73">
        <v>2803</v>
      </c>
      <c r="G13" s="71">
        <v>3470</v>
      </c>
      <c r="H13" s="71">
        <v>3826</v>
      </c>
      <c r="I13" s="71">
        <v>3425</v>
      </c>
      <c r="J13" s="71">
        <v>5665</v>
      </c>
      <c r="K13" s="71">
        <v>5400</v>
      </c>
      <c r="L13" s="71">
        <v>3767</v>
      </c>
      <c r="M13" s="71">
        <v>4778</v>
      </c>
      <c r="N13" s="71">
        <v>7222</v>
      </c>
      <c r="O13" s="71">
        <v>6892</v>
      </c>
      <c r="P13" s="71">
        <v>7145</v>
      </c>
      <c r="Q13" s="71">
        <v>8008</v>
      </c>
      <c r="R13" s="71">
        <v>6747</v>
      </c>
      <c r="S13" s="71">
        <v>7807</v>
      </c>
      <c r="T13" s="71">
        <f t="shared" si="0"/>
        <v>7781</v>
      </c>
      <c r="U13" s="71">
        <f t="shared" si="1"/>
        <v>7879</v>
      </c>
      <c r="V13" s="71">
        <f t="shared" si="1"/>
        <v>9372</v>
      </c>
      <c r="W13" s="71">
        <f t="shared" si="2"/>
        <v>6078.0259500000384</v>
      </c>
      <c r="X13" s="71">
        <f t="shared" si="3"/>
        <v>5808.7587500002874</v>
      </c>
      <c r="Y13" s="71">
        <f t="shared" si="4"/>
        <v>6147.8887099998701</v>
      </c>
      <c r="Z13" s="71">
        <f t="shared" si="4"/>
        <v>7138.8482200003491</v>
      </c>
      <c r="AA13" s="71">
        <f t="shared" si="5"/>
        <v>6838.6210300000257</v>
      </c>
      <c r="AB13" s="71">
        <f t="shared" si="6"/>
        <v>7268.5337899996939</v>
      </c>
      <c r="AC13" s="71">
        <f t="shared" si="6"/>
        <v>7739.4566300002298</v>
      </c>
      <c r="AD13" s="71">
        <f t="shared" si="6"/>
        <v>7577.8265299998675</v>
      </c>
      <c r="AE13" s="71">
        <f t="shared" si="7"/>
        <v>6400</v>
      </c>
      <c r="AF13" s="71">
        <f t="shared" si="8"/>
        <v>7464</v>
      </c>
      <c r="AG13" s="71">
        <f t="shared" si="8"/>
        <v>7573</v>
      </c>
      <c r="AH13" s="71">
        <f t="shared" si="8"/>
        <v>8296</v>
      </c>
      <c r="AI13" s="71">
        <f t="shared" si="9"/>
        <v>7358</v>
      </c>
      <c r="AJ13" s="71">
        <f t="shared" si="10"/>
        <v>8395</v>
      </c>
      <c r="AS13" s="1"/>
      <c r="AU13" s="69"/>
      <c r="AV13" s="1"/>
      <c r="BD13" s="69"/>
    </row>
    <row r="14" spans="1:56" ht="12.5" thickBot="1">
      <c r="A14" s="106" t="s">
        <v>68</v>
      </c>
      <c r="B14" s="113" t="s">
        <v>156</v>
      </c>
      <c r="C14" s="2">
        <v>174839</v>
      </c>
      <c r="D14" s="2">
        <v>184587</v>
      </c>
      <c r="E14" s="2">
        <v>171809</v>
      </c>
      <c r="F14" s="2">
        <v>164086</v>
      </c>
      <c r="G14" s="2">
        <v>177814</v>
      </c>
      <c r="H14" s="2">
        <v>173169</v>
      </c>
      <c r="I14" s="2">
        <v>176385</v>
      </c>
      <c r="J14" s="2">
        <v>168912</v>
      </c>
      <c r="K14" s="2">
        <v>161382</v>
      </c>
      <c r="L14" s="2">
        <v>168941</v>
      </c>
      <c r="M14" s="2">
        <f>SUM(M4:M13)</f>
        <v>179239</v>
      </c>
      <c r="N14" s="2">
        <f>SUM(N4:N13)</f>
        <v>188445</v>
      </c>
      <c r="O14" s="2">
        <v>196098</v>
      </c>
      <c r="P14" s="2">
        <v>196164</v>
      </c>
      <c r="Q14" s="2">
        <v>201064</v>
      </c>
      <c r="R14" s="2">
        <v>205962</v>
      </c>
      <c r="S14" s="2">
        <v>209202</v>
      </c>
      <c r="T14" s="2">
        <f t="shared" ref="T14:V14" si="11">SUM(T4:T13)</f>
        <v>205359</v>
      </c>
      <c r="U14" s="2">
        <f t="shared" si="11"/>
        <v>205347</v>
      </c>
      <c r="V14" s="2">
        <f t="shared" si="11"/>
        <v>204337</v>
      </c>
      <c r="W14" s="2">
        <f t="shared" ref="W14:Y14" si="12">SUM(W4:W13)</f>
        <v>201530.35600000006</v>
      </c>
      <c r="X14" s="2">
        <f t="shared" si="12"/>
        <v>221295.80732000031</v>
      </c>
      <c r="Y14" s="2">
        <f t="shared" si="12"/>
        <v>238271.85557999983</v>
      </c>
      <c r="Z14" s="2">
        <f>SUM(Z4:Z13)</f>
        <v>238788.98578000028</v>
      </c>
      <c r="AA14" s="261">
        <f t="shared" ref="AA14:AJ14" si="13">SUM(AA4:AA13)</f>
        <v>247668.91192000004</v>
      </c>
      <c r="AB14" s="261">
        <f t="shared" si="13"/>
        <v>224034.95451999971</v>
      </c>
      <c r="AC14" s="261">
        <f t="shared" si="13"/>
        <v>235162.94238000023</v>
      </c>
      <c r="AD14" s="261">
        <f t="shared" si="13"/>
        <v>240547.09079999992</v>
      </c>
      <c r="AE14" s="261">
        <f t="shared" si="13"/>
        <v>245994</v>
      </c>
      <c r="AF14" s="261">
        <f t="shared" si="13"/>
        <v>253855</v>
      </c>
      <c r="AG14" s="261">
        <f t="shared" si="13"/>
        <v>251897</v>
      </c>
      <c r="AH14" s="261">
        <f t="shared" si="13"/>
        <v>260504</v>
      </c>
      <c r="AI14" s="261">
        <f t="shared" si="13"/>
        <v>267907</v>
      </c>
      <c r="AJ14" s="261">
        <f t="shared" si="13"/>
        <v>260498</v>
      </c>
      <c r="AK14" s="27"/>
      <c r="AL14" s="27"/>
      <c r="AS14" s="1"/>
      <c r="AU14" s="69"/>
      <c r="AV14" s="1"/>
      <c r="BD14" s="69"/>
    </row>
    <row r="15" spans="1:56">
      <c r="A15" s="1"/>
      <c r="AS15" s="1"/>
      <c r="AU15" s="69"/>
      <c r="AV15" s="1"/>
      <c r="BD15" s="69"/>
    </row>
    <row r="16" spans="1:56" s="190" customFormat="1" ht="24.5" thickBot="1">
      <c r="A16" s="171" t="s">
        <v>499</v>
      </c>
      <c r="B16" s="171" t="s">
        <v>171</v>
      </c>
      <c r="C16" s="188" t="s">
        <v>189</v>
      </c>
      <c r="D16" s="188" t="s">
        <v>191</v>
      </c>
      <c r="E16" s="188" t="s">
        <v>197</v>
      </c>
      <c r="F16" s="188" t="s">
        <v>215</v>
      </c>
      <c r="G16" s="188" t="s">
        <v>219</v>
      </c>
      <c r="H16" s="188" t="s">
        <v>237</v>
      </c>
      <c r="I16" s="188" t="s">
        <v>240</v>
      </c>
      <c r="J16" s="188" t="s">
        <v>243</v>
      </c>
      <c r="K16" s="188" t="s">
        <v>245</v>
      </c>
      <c r="L16" s="188" t="s">
        <v>253</v>
      </c>
      <c r="M16" s="188" t="s">
        <v>256</v>
      </c>
      <c r="N16" s="188" t="s">
        <v>260</v>
      </c>
      <c r="O16" s="188" t="s">
        <v>262</v>
      </c>
      <c r="P16" s="188" t="s">
        <v>273</v>
      </c>
      <c r="Q16" s="188" t="s">
        <v>276</v>
      </c>
      <c r="R16" s="188" t="s">
        <v>283</v>
      </c>
      <c r="S16" s="188" t="s">
        <v>285</v>
      </c>
      <c r="T16" s="188" t="s">
        <v>364</v>
      </c>
      <c r="U16" s="188" t="s">
        <v>403</v>
      </c>
      <c r="V16" s="188" t="s">
        <v>408</v>
      </c>
      <c r="W16" s="188" t="s">
        <v>411</v>
      </c>
      <c r="X16" s="188" t="s">
        <v>421</v>
      </c>
      <c r="Y16" s="188" t="s">
        <v>425</v>
      </c>
      <c r="Z16" s="188" t="s">
        <v>434</v>
      </c>
      <c r="AA16" s="254" t="s">
        <v>510</v>
      </c>
      <c r="AB16" s="254" t="s">
        <v>590</v>
      </c>
      <c r="AC16" s="254" t="s">
        <v>596</v>
      </c>
      <c r="AD16" s="254" t="s">
        <v>607</v>
      </c>
      <c r="AE16" s="254" t="s">
        <v>612</v>
      </c>
      <c r="AF16" s="254" t="s">
        <v>617</v>
      </c>
      <c r="AG16" s="254" t="s">
        <v>629</v>
      </c>
      <c r="AH16" s="254" t="s">
        <v>636</v>
      </c>
      <c r="AI16" s="254" t="s">
        <v>643</v>
      </c>
      <c r="AJ16" s="254" t="s">
        <v>651</v>
      </c>
      <c r="AT16" s="198"/>
      <c r="AU16" s="198"/>
      <c r="AW16" s="198"/>
      <c r="AX16" s="198"/>
      <c r="AY16" s="198"/>
      <c r="AZ16" s="198"/>
      <c r="BA16" s="198"/>
      <c r="BB16" s="198"/>
      <c r="BC16" s="198"/>
      <c r="BD16" s="198"/>
    </row>
    <row r="17" spans="1:56">
      <c r="A17" s="102" t="s">
        <v>59</v>
      </c>
      <c r="B17" s="111" t="s">
        <v>146</v>
      </c>
      <c r="C17" s="74">
        <v>-296</v>
      </c>
      <c r="D17" s="74">
        <v>-355</v>
      </c>
      <c r="E17" s="74">
        <v>-354</v>
      </c>
      <c r="F17" s="74">
        <v>-452</v>
      </c>
      <c r="G17" s="74">
        <v>-253</v>
      </c>
      <c r="H17" s="74">
        <v>-341</v>
      </c>
      <c r="I17" s="74">
        <v>-328</v>
      </c>
      <c r="J17" s="74">
        <v>-400</v>
      </c>
      <c r="K17" s="74">
        <v>-269</v>
      </c>
      <c r="L17" s="74">
        <v>-365</v>
      </c>
      <c r="M17" s="74">
        <v>-367</v>
      </c>
      <c r="N17" s="74">
        <v>-499</v>
      </c>
      <c r="O17" s="74">
        <v>-328</v>
      </c>
      <c r="P17" s="74">
        <v>-405</v>
      </c>
      <c r="Q17" s="74">
        <v>-437</v>
      </c>
      <c r="R17" s="74">
        <v>-493</v>
      </c>
      <c r="S17" s="74">
        <v>-389</v>
      </c>
      <c r="T17" s="74">
        <f>+T58-S17</f>
        <v>-481</v>
      </c>
      <c r="U17" s="74">
        <f t="shared" ref="U17:V19" si="14">+U58-T58</f>
        <v>-455</v>
      </c>
      <c r="V17" s="74">
        <f t="shared" si="14"/>
        <v>-597</v>
      </c>
      <c r="W17" s="74">
        <f>+W58</f>
        <v>-4022.0153999999998</v>
      </c>
      <c r="X17" s="74">
        <f>+X58-W17</f>
        <v>-4215.7142000000003</v>
      </c>
      <c r="Y17" s="74">
        <f t="shared" ref="Y17:Z19" si="15">+Y58-X58</f>
        <v>-4423.3683999999994</v>
      </c>
      <c r="Z17" s="74">
        <f t="shared" si="15"/>
        <v>-5285.1950000000015</v>
      </c>
      <c r="AA17" s="74">
        <f t="shared" ref="AA17:AA26" si="16">+AA58</f>
        <v>-5363.3477999999996</v>
      </c>
      <c r="AB17" s="74">
        <f t="shared" ref="AB17:AD26" si="17">+AB58-AA58</f>
        <v>-4711.4181000000008</v>
      </c>
      <c r="AC17" s="74">
        <f t="shared" si="17"/>
        <v>-5310.1148899999989</v>
      </c>
      <c r="AD17" s="74">
        <f t="shared" si="17"/>
        <v>-4637.0984000000026</v>
      </c>
      <c r="AE17" s="74">
        <f t="shared" ref="AE17:AE26" si="18">+AE58</f>
        <v>1628</v>
      </c>
      <c r="AF17" s="74">
        <f t="shared" ref="AF17:AH26" si="19">+AF58-AE58</f>
        <v>-2598</v>
      </c>
      <c r="AG17" s="74">
        <f t="shared" si="19"/>
        <v>-1716</v>
      </c>
      <c r="AH17" s="74">
        <f t="shared" si="19"/>
        <v>-3343</v>
      </c>
      <c r="AI17" s="74">
        <f t="shared" ref="AI17:AI26" si="20">+AI58</f>
        <v>-2759</v>
      </c>
      <c r="AJ17" s="74">
        <f t="shared" ref="AJ17:AJ26" si="21">+AJ58-AI58</f>
        <v>-5198</v>
      </c>
      <c r="AS17" s="1"/>
      <c r="AU17" s="69"/>
      <c r="AV17" s="1"/>
      <c r="BD17" s="69"/>
    </row>
    <row r="18" spans="1:56" ht="36">
      <c r="A18" s="102" t="s">
        <v>69</v>
      </c>
      <c r="B18" s="112" t="s">
        <v>147</v>
      </c>
      <c r="C18" s="71">
        <v>-458</v>
      </c>
      <c r="D18" s="71">
        <v>-284</v>
      </c>
      <c r="E18" s="71">
        <v>-403</v>
      </c>
      <c r="F18" s="71">
        <v>-360</v>
      </c>
      <c r="G18" s="71">
        <v>-431</v>
      </c>
      <c r="H18" s="71">
        <v>-486</v>
      </c>
      <c r="I18" s="71">
        <v>-525</v>
      </c>
      <c r="J18" s="71">
        <v>-509</v>
      </c>
      <c r="K18" s="71">
        <v>-495</v>
      </c>
      <c r="L18" s="71">
        <v>-557</v>
      </c>
      <c r="M18" s="71">
        <v>-562</v>
      </c>
      <c r="N18" s="71">
        <v>-710</v>
      </c>
      <c r="O18" s="71">
        <v>-680</v>
      </c>
      <c r="P18" s="71">
        <v>-918</v>
      </c>
      <c r="Q18" s="71">
        <v>-1048</v>
      </c>
      <c r="R18" s="71">
        <v>-1394</v>
      </c>
      <c r="S18" s="71">
        <v>-1189</v>
      </c>
      <c r="T18" s="71">
        <f>+T59-S18</f>
        <v>-1518</v>
      </c>
      <c r="U18" s="71">
        <f t="shared" si="14"/>
        <v>-1376</v>
      </c>
      <c r="V18" s="71">
        <f t="shared" si="14"/>
        <v>-1324</v>
      </c>
      <c r="W18" s="71">
        <f>+W59</f>
        <v>-929.69500000000005</v>
      </c>
      <c r="X18" s="71">
        <f>+X59-W18</f>
        <v>-827.36299999999994</v>
      </c>
      <c r="Y18" s="71">
        <f t="shared" si="15"/>
        <v>-859.36700000000019</v>
      </c>
      <c r="Z18" s="71">
        <f t="shared" si="15"/>
        <v>-920.82600000000002</v>
      </c>
      <c r="AA18" s="265">
        <f t="shared" si="16"/>
        <v>-1045.55</v>
      </c>
      <c r="AB18" s="265">
        <f t="shared" si="17"/>
        <v>-1188.7329999999999</v>
      </c>
      <c r="AC18" s="265">
        <f t="shared" si="17"/>
        <v>-1167.3420000000001</v>
      </c>
      <c r="AD18" s="265">
        <f t="shared" si="17"/>
        <v>-1208.3149999999996</v>
      </c>
      <c r="AE18" s="265">
        <f t="shared" si="18"/>
        <v>-1148</v>
      </c>
      <c r="AF18" s="265">
        <f t="shared" si="19"/>
        <v>-1118</v>
      </c>
      <c r="AG18" s="265">
        <f t="shared" si="19"/>
        <v>-1169</v>
      </c>
      <c r="AH18" s="265">
        <f t="shared" si="19"/>
        <v>-1236</v>
      </c>
      <c r="AI18" s="265">
        <f t="shared" si="20"/>
        <v>-1229</v>
      </c>
      <c r="AJ18" s="265">
        <f t="shared" si="21"/>
        <v>-1318</v>
      </c>
      <c r="AS18" s="1"/>
      <c r="AU18" s="69"/>
      <c r="AV18" s="1"/>
      <c r="BD18" s="69"/>
    </row>
    <row r="19" spans="1:56">
      <c r="A19" s="102" t="s">
        <v>60</v>
      </c>
      <c r="B19" s="112" t="s">
        <v>148</v>
      </c>
      <c r="C19" s="71">
        <v>-3581</v>
      </c>
      <c r="D19" s="71">
        <v>-3851</v>
      </c>
      <c r="E19" s="71">
        <v>-3485</v>
      </c>
      <c r="F19" s="71">
        <v>-3619</v>
      </c>
      <c r="G19" s="71">
        <v>-3165</v>
      </c>
      <c r="H19" s="71">
        <v>-5927</v>
      </c>
      <c r="I19" s="71">
        <v>-3982</v>
      </c>
      <c r="J19" s="71">
        <v>-5411</v>
      </c>
      <c r="K19" s="71">
        <v>-4394</v>
      </c>
      <c r="L19" s="71">
        <v>-6218</v>
      </c>
      <c r="M19" s="71">
        <v>-4228</v>
      </c>
      <c r="N19" s="71">
        <v>-4488</v>
      </c>
      <c r="O19" s="71">
        <v>-4081</v>
      </c>
      <c r="P19" s="71">
        <v>-4606</v>
      </c>
      <c r="Q19" s="71">
        <v>-5165</v>
      </c>
      <c r="R19" s="71">
        <v>-7084</v>
      </c>
      <c r="S19" s="71">
        <v>-6925</v>
      </c>
      <c r="T19" s="71">
        <f>+T60-S19</f>
        <v>-7441</v>
      </c>
      <c r="U19" s="71">
        <f t="shared" si="14"/>
        <v>-8096</v>
      </c>
      <c r="V19" s="71">
        <f t="shared" si="14"/>
        <v>-8392</v>
      </c>
      <c r="W19" s="71">
        <f>+W60</f>
        <v>-4736.3598200000015</v>
      </c>
      <c r="X19" s="71">
        <f>+X60-W19</f>
        <v>-6196.7275299999874</v>
      </c>
      <c r="Y19" s="71">
        <f t="shared" si="15"/>
        <v>-10119.727750000015</v>
      </c>
      <c r="Z19" s="71">
        <f t="shared" si="15"/>
        <v>-9929.9791899999946</v>
      </c>
      <c r="AA19" s="265">
        <f t="shared" si="16"/>
        <v>-9113.2400699999998</v>
      </c>
      <c r="AB19" s="265">
        <f t="shared" si="17"/>
        <v>-8499.1916199999978</v>
      </c>
      <c r="AC19" s="265">
        <f t="shared" si="17"/>
        <v>-7785.0472300000038</v>
      </c>
      <c r="AD19" s="265">
        <f t="shared" si="17"/>
        <v>-7976.2817799999975</v>
      </c>
      <c r="AE19" s="265">
        <f t="shared" si="18"/>
        <v>-7309</v>
      </c>
      <c r="AF19" s="265">
        <f t="shared" si="19"/>
        <v>-6650</v>
      </c>
      <c r="AG19" s="265">
        <f t="shared" si="19"/>
        <v>-7914</v>
      </c>
      <c r="AH19" s="265">
        <f t="shared" si="19"/>
        <v>-6292</v>
      </c>
      <c r="AI19" s="265">
        <f t="shared" si="20"/>
        <v>-6608</v>
      </c>
      <c r="AJ19" s="265">
        <f t="shared" si="21"/>
        <v>-6561</v>
      </c>
      <c r="AS19" s="1"/>
      <c r="AU19" s="69"/>
      <c r="AV19" s="1"/>
      <c r="BD19" s="69"/>
    </row>
    <row r="20" spans="1:56">
      <c r="A20" s="102"/>
      <c r="B20" s="112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265">
        <f t="shared" si="16"/>
        <v>0</v>
      </c>
      <c r="AB20" s="265">
        <f t="shared" si="17"/>
        <v>0</v>
      </c>
      <c r="AC20" s="265">
        <f t="shared" si="17"/>
        <v>0</v>
      </c>
      <c r="AD20" s="265">
        <f t="shared" si="17"/>
        <v>0</v>
      </c>
      <c r="AE20" s="265">
        <f t="shared" si="18"/>
        <v>0</v>
      </c>
      <c r="AF20" s="265">
        <f t="shared" si="19"/>
        <v>0</v>
      </c>
      <c r="AG20" s="265">
        <f t="shared" si="19"/>
        <v>0</v>
      </c>
      <c r="AH20" s="265">
        <f t="shared" si="19"/>
        <v>0</v>
      </c>
      <c r="AI20" s="265">
        <f t="shared" si="20"/>
        <v>0</v>
      </c>
      <c r="AJ20" s="265">
        <f t="shared" si="21"/>
        <v>0</v>
      </c>
      <c r="AS20" s="1"/>
      <c r="AU20" s="69"/>
      <c r="AV20" s="1"/>
      <c r="BD20" s="69"/>
    </row>
    <row r="21" spans="1:56">
      <c r="A21" s="102" t="s">
        <v>62</v>
      </c>
      <c r="B21" s="112" t="s">
        <v>150</v>
      </c>
      <c r="C21" s="71">
        <v>-12451</v>
      </c>
      <c r="D21" s="71">
        <v>-14313</v>
      </c>
      <c r="E21" s="71">
        <v>-13849</v>
      </c>
      <c r="F21" s="71">
        <v>-14022</v>
      </c>
      <c r="G21" s="71">
        <v>-13881</v>
      </c>
      <c r="H21" s="71">
        <v>-14844</v>
      </c>
      <c r="I21" s="71">
        <v>-15795</v>
      </c>
      <c r="J21" s="71">
        <v>-15830</v>
      </c>
      <c r="K21" s="71">
        <v>-15775</v>
      </c>
      <c r="L21" s="71">
        <v>-17191</v>
      </c>
      <c r="M21" s="71">
        <v>-18355</v>
      </c>
      <c r="N21" s="71">
        <v>-17865</v>
      </c>
      <c r="O21" s="71">
        <v>-17380</v>
      </c>
      <c r="P21" s="71">
        <v>-19718</v>
      </c>
      <c r="Q21" s="71">
        <v>-20127</v>
      </c>
      <c r="R21" s="71">
        <v>-20370</v>
      </c>
      <c r="S21" s="71">
        <v>-20515</v>
      </c>
      <c r="T21" s="71">
        <f>+T62-S21</f>
        <v>-23083</v>
      </c>
      <c r="U21" s="71">
        <f>+U62-T62</f>
        <v>-23375</v>
      </c>
      <c r="V21" s="71">
        <f>+V62-U62</f>
        <v>-22324</v>
      </c>
      <c r="W21" s="71">
        <f>+W62</f>
        <v>-20241.899000000001</v>
      </c>
      <c r="X21" s="71">
        <f>+X62-W21</f>
        <v>-24625.58929</v>
      </c>
      <c r="Y21" s="71">
        <f>+Y62-X62</f>
        <v>-32789.810680000002</v>
      </c>
      <c r="Z21" s="71">
        <f>+Z62-Y62</f>
        <v>-29372.371999999988</v>
      </c>
      <c r="AA21" s="265">
        <f t="shared" si="16"/>
        <v>-26019.298999999999</v>
      </c>
      <c r="AB21" s="265">
        <f t="shared" si="17"/>
        <v>-18784.271000000001</v>
      </c>
      <c r="AC21" s="265">
        <f t="shared" si="17"/>
        <v>-27150.455999999998</v>
      </c>
      <c r="AD21" s="265">
        <f t="shared" si="17"/>
        <v>-21559.625</v>
      </c>
      <c r="AE21" s="265">
        <f t="shared" si="18"/>
        <v>-21459</v>
      </c>
      <c r="AF21" s="265">
        <f t="shared" si="19"/>
        <v>-18663</v>
      </c>
      <c r="AG21" s="265">
        <f t="shared" si="19"/>
        <v>-25854</v>
      </c>
      <c r="AH21" s="265">
        <f t="shared" si="19"/>
        <v>-20415</v>
      </c>
      <c r="AI21" s="265">
        <f t="shared" si="20"/>
        <v>-23971</v>
      </c>
      <c r="AJ21" s="265">
        <f t="shared" si="21"/>
        <v>-24861</v>
      </c>
      <c r="AS21" s="1"/>
      <c r="AU21" s="69"/>
      <c r="AV21" s="1"/>
      <c r="BD21" s="69"/>
    </row>
    <row r="22" spans="1:56">
      <c r="A22" s="102" t="s">
        <v>63</v>
      </c>
      <c r="B22" s="112" t="s">
        <v>151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>
        <v>0</v>
      </c>
      <c r="R22" s="71"/>
      <c r="S22" s="71"/>
      <c r="T22" s="71"/>
      <c r="U22" s="71"/>
      <c r="V22" s="71"/>
      <c r="W22" s="71">
        <f>+W63</f>
        <v>-3016.761</v>
      </c>
      <c r="X22" s="71">
        <f>+X63-W22</f>
        <v>-4056.8539999999998</v>
      </c>
      <c r="Y22" s="71">
        <f>+Y63-X63</f>
        <v>-3642.7209999999995</v>
      </c>
      <c r="Z22" s="71">
        <f>+Z63-Y63</f>
        <v>667.92999999999847</v>
      </c>
      <c r="AA22" s="265">
        <f t="shared" si="16"/>
        <v>-3786.1570000000002</v>
      </c>
      <c r="AB22" s="265">
        <f t="shared" si="17"/>
        <v>-3787.3920000000007</v>
      </c>
      <c r="AC22" s="265">
        <f t="shared" si="17"/>
        <v>-5293.0049999999992</v>
      </c>
      <c r="AD22" s="265">
        <f t="shared" si="17"/>
        <v>-3573.8689999999988</v>
      </c>
      <c r="AE22" s="265">
        <f t="shared" si="18"/>
        <v>-4936</v>
      </c>
      <c r="AF22" s="265">
        <f t="shared" si="19"/>
        <v>-4706</v>
      </c>
      <c r="AG22" s="265">
        <f t="shared" si="19"/>
        <v>-2879</v>
      </c>
      <c r="AH22" s="265">
        <f t="shared" si="19"/>
        <v>-2515</v>
      </c>
      <c r="AI22" s="265">
        <f t="shared" si="20"/>
        <v>-2464</v>
      </c>
      <c r="AJ22" s="265">
        <f t="shared" si="21"/>
        <v>-3969</v>
      </c>
      <c r="AS22" s="1"/>
      <c r="AU22" s="69"/>
      <c r="AV22" s="1"/>
      <c r="BD22" s="69"/>
    </row>
    <row r="23" spans="1:56">
      <c r="A23" s="102"/>
      <c r="B23" s="112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265">
        <f t="shared" si="16"/>
        <v>0</v>
      </c>
      <c r="AB23" s="265">
        <f t="shared" si="17"/>
        <v>0</v>
      </c>
      <c r="AC23" s="265">
        <f t="shared" si="17"/>
        <v>0</v>
      </c>
      <c r="AD23" s="265">
        <f t="shared" si="17"/>
        <v>0</v>
      </c>
      <c r="AE23" s="265">
        <f t="shared" si="18"/>
        <v>0</v>
      </c>
      <c r="AF23" s="265">
        <f t="shared" si="19"/>
        <v>0</v>
      </c>
      <c r="AG23" s="265">
        <f t="shared" si="19"/>
        <v>0</v>
      </c>
      <c r="AH23" s="265">
        <f t="shared" si="19"/>
        <v>0</v>
      </c>
      <c r="AI23" s="265">
        <f t="shared" si="20"/>
        <v>0</v>
      </c>
      <c r="AJ23" s="265">
        <f t="shared" si="21"/>
        <v>0</v>
      </c>
      <c r="AS23" s="1"/>
      <c r="AU23" s="69"/>
      <c r="AV23" s="1"/>
      <c r="BD23" s="69"/>
    </row>
    <row r="24" spans="1:56">
      <c r="A24" s="102" t="s">
        <v>65</v>
      </c>
      <c r="B24" s="112" t="s">
        <v>153</v>
      </c>
      <c r="C24" s="71">
        <v>-952</v>
      </c>
      <c r="D24" s="71">
        <v>-776</v>
      </c>
      <c r="E24" s="71">
        <v>-891</v>
      </c>
      <c r="F24" s="71">
        <v>-747</v>
      </c>
      <c r="G24" s="71">
        <v>-788</v>
      </c>
      <c r="H24" s="71">
        <v>-762</v>
      </c>
      <c r="I24" s="71">
        <v>-850</v>
      </c>
      <c r="J24" s="71">
        <v>-986</v>
      </c>
      <c r="K24" s="71">
        <v>-814</v>
      </c>
      <c r="L24" s="71">
        <v>-855</v>
      </c>
      <c r="M24" s="71">
        <v>-840</v>
      </c>
      <c r="N24" s="71">
        <v>-1088</v>
      </c>
      <c r="O24" s="71">
        <v>-1054</v>
      </c>
      <c r="P24" s="71">
        <v>-872</v>
      </c>
      <c r="Q24" s="71">
        <v>-790</v>
      </c>
      <c r="R24" s="71">
        <v>-796</v>
      </c>
      <c r="S24" s="71">
        <v>-905</v>
      </c>
      <c r="T24" s="71">
        <f>+T65-S24</f>
        <v>-809</v>
      </c>
      <c r="U24" s="71">
        <f t="shared" ref="U24:V26" si="22">+U65-T65</f>
        <v>-746</v>
      </c>
      <c r="V24" s="71">
        <f t="shared" si="22"/>
        <v>-651</v>
      </c>
      <c r="W24" s="71">
        <f>+W65</f>
        <v>-627.2106</v>
      </c>
      <c r="X24" s="71">
        <f>+X65-W24</f>
        <v>-548.74760000000026</v>
      </c>
      <c r="Y24" s="71">
        <f t="shared" ref="Y24:Z26" si="23">+Y65-X65</f>
        <v>-537.48609999999985</v>
      </c>
      <c r="Z24" s="71">
        <f t="shared" si="23"/>
        <v>-548.13339999999971</v>
      </c>
      <c r="AA24" s="265">
        <f t="shared" si="16"/>
        <v>-794.27049999999997</v>
      </c>
      <c r="AB24" s="265">
        <f t="shared" si="17"/>
        <v>-777.1617</v>
      </c>
      <c r="AC24" s="265">
        <f t="shared" si="17"/>
        <v>-884.05520000000047</v>
      </c>
      <c r="AD24" s="265">
        <f t="shared" si="17"/>
        <v>-865.74787999999944</v>
      </c>
      <c r="AE24" s="265">
        <f t="shared" si="18"/>
        <v>-875</v>
      </c>
      <c r="AF24" s="265">
        <f t="shared" si="19"/>
        <v>-807</v>
      </c>
      <c r="AG24" s="265">
        <f t="shared" si="19"/>
        <v>-674</v>
      </c>
      <c r="AH24" s="265">
        <f t="shared" si="19"/>
        <v>-731</v>
      </c>
      <c r="AI24" s="265">
        <f t="shared" si="20"/>
        <v>-863</v>
      </c>
      <c r="AJ24" s="265">
        <f t="shared" si="21"/>
        <v>-596</v>
      </c>
      <c r="AS24" s="1"/>
      <c r="AU24" s="69"/>
      <c r="AV24" s="1"/>
      <c r="BD24" s="69"/>
    </row>
    <row r="25" spans="1:56" ht="24">
      <c r="A25" s="102" t="s">
        <v>66</v>
      </c>
      <c r="B25" s="112" t="s">
        <v>157</v>
      </c>
      <c r="C25" s="71">
        <v>-831</v>
      </c>
      <c r="D25" s="71">
        <v>-1311</v>
      </c>
      <c r="E25" s="71">
        <v>-1131</v>
      </c>
      <c r="F25" s="71">
        <v>-1666</v>
      </c>
      <c r="G25" s="71">
        <v>-1462</v>
      </c>
      <c r="H25" s="71">
        <v>-1920</v>
      </c>
      <c r="I25" s="71">
        <v>-2084</v>
      </c>
      <c r="J25" s="71">
        <v>-2133</v>
      </c>
      <c r="K25" s="71">
        <v>-2153</v>
      </c>
      <c r="L25" s="71">
        <v>-2234</v>
      </c>
      <c r="M25" s="71">
        <v>-2104</v>
      </c>
      <c r="N25" s="71">
        <v>-2176</v>
      </c>
      <c r="O25" s="71">
        <v>-2238</v>
      </c>
      <c r="P25" s="71">
        <v>-2612</v>
      </c>
      <c r="Q25" s="71">
        <v>-2699</v>
      </c>
      <c r="R25" s="71">
        <v>-2694</v>
      </c>
      <c r="S25" s="71">
        <v>-2635</v>
      </c>
      <c r="T25" s="71">
        <f>+T66-S25</f>
        <v>-2529</v>
      </c>
      <c r="U25" s="71">
        <f t="shared" si="22"/>
        <v>-2177</v>
      </c>
      <c r="V25" s="71">
        <f t="shared" si="22"/>
        <v>-2180</v>
      </c>
      <c r="W25" s="71">
        <f>+W66</f>
        <v>-2225.1880000000001</v>
      </c>
      <c r="X25" s="71">
        <f>+X66-W25</f>
        <v>-2147.5570999999991</v>
      </c>
      <c r="Y25" s="71">
        <f t="shared" si="23"/>
        <v>-3201.37</v>
      </c>
      <c r="Z25" s="71">
        <f t="shared" si="23"/>
        <v>-2734.8118000000068</v>
      </c>
      <c r="AA25" s="71">
        <f t="shared" si="16"/>
        <v>-3067.5132999999996</v>
      </c>
      <c r="AB25" s="71">
        <f t="shared" si="17"/>
        <v>-2342.4207000000015</v>
      </c>
      <c r="AC25" s="71">
        <f t="shared" si="17"/>
        <v>-2538.5919999999987</v>
      </c>
      <c r="AD25" s="71">
        <f t="shared" si="17"/>
        <v>-2468.3831000000009</v>
      </c>
      <c r="AE25" s="71">
        <f t="shared" si="18"/>
        <v>-2685</v>
      </c>
      <c r="AF25" s="71">
        <f t="shared" si="19"/>
        <v>-2687</v>
      </c>
      <c r="AG25" s="71">
        <f t="shared" si="19"/>
        <v>-3146</v>
      </c>
      <c r="AH25" s="71">
        <f t="shared" si="19"/>
        <v>-3157</v>
      </c>
      <c r="AI25" s="71">
        <f t="shared" si="20"/>
        <v>-2993</v>
      </c>
      <c r="AJ25" s="71">
        <f t="shared" si="21"/>
        <v>-2841</v>
      </c>
      <c r="AS25" s="1"/>
      <c r="AU25" s="69"/>
      <c r="AV25" s="1"/>
      <c r="BD25" s="69"/>
    </row>
    <row r="26" spans="1:56" ht="12.5" thickBot="1">
      <c r="A26" s="102" t="s">
        <v>67</v>
      </c>
      <c r="B26" s="112" t="s">
        <v>155</v>
      </c>
      <c r="C26" s="71">
        <v>-775</v>
      </c>
      <c r="D26" s="71">
        <v>-608</v>
      </c>
      <c r="E26" s="71">
        <v>-806</v>
      </c>
      <c r="F26" s="71">
        <v>-1021</v>
      </c>
      <c r="G26" s="71">
        <v>-1084</v>
      </c>
      <c r="H26" s="71">
        <v>-1500</v>
      </c>
      <c r="I26" s="71">
        <v>-1234</v>
      </c>
      <c r="J26" s="71">
        <v>-3196</v>
      </c>
      <c r="K26" s="71">
        <v>-3130</v>
      </c>
      <c r="L26" s="71">
        <v>-1737</v>
      </c>
      <c r="M26" s="71">
        <v>-2591</v>
      </c>
      <c r="N26" s="71">
        <v>-4923</v>
      </c>
      <c r="O26" s="71">
        <v>-4220</v>
      </c>
      <c r="P26" s="71">
        <v>-4515</v>
      </c>
      <c r="Q26" s="71">
        <v>-5260</v>
      </c>
      <c r="R26" s="71">
        <v>-3751</v>
      </c>
      <c r="S26" s="71">
        <v>-4140</v>
      </c>
      <c r="T26" s="71">
        <f>+T67-S26</f>
        <v>-5415</v>
      </c>
      <c r="U26" s="71">
        <f t="shared" si="22"/>
        <v>-6209</v>
      </c>
      <c r="V26" s="71">
        <f t="shared" si="22"/>
        <v>-7300</v>
      </c>
      <c r="W26" s="71">
        <f>+W67</f>
        <v>-2557.1770400000046</v>
      </c>
      <c r="X26" s="71">
        <f>+X67-W26</f>
        <v>-3652.631909999986</v>
      </c>
      <c r="Y26" s="71">
        <f t="shared" si="23"/>
        <v>-4390.7857400000257</v>
      </c>
      <c r="Z26" s="71">
        <f t="shared" si="23"/>
        <v>-8019.2400400001243</v>
      </c>
      <c r="AA26" s="71">
        <f t="shared" si="16"/>
        <v>-3946.2486600000111</v>
      </c>
      <c r="AB26" s="71">
        <f t="shared" si="17"/>
        <v>-4948.9179299999623</v>
      </c>
      <c r="AC26" s="71">
        <f t="shared" si="17"/>
        <v>-5237.1918300000289</v>
      </c>
      <c r="AD26" s="71">
        <f t="shared" si="17"/>
        <v>-5527.7831899999819</v>
      </c>
      <c r="AE26" s="71">
        <f t="shared" si="18"/>
        <v>-4433</v>
      </c>
      <c r="AF26" s="71">
        <f t="shared" si="19"/>
        <v>-7316</v>
      </c>
      <c r="AG26" s="71">
        <f t="shared" si="19"/>
        <v>-6980</v>
      </c>
      <c r="AH26" s="71">
        <f t="shared" si="19"/>
        <v>-7855</v>
      </c>
      <c r="AI26" s="71">
        <f t="shared" si="20"/>
        <v>-6204</v>
      </c>
      <c r="AJ26" s="71">
        <f t="shared" si="21"/>
        <v>-9032</v>
      </c>
      <c r="AS26" s="1"/>
      <c r="AU26" s="69"/>
      <c r="AV26" s="1"/>
      <c r="BD26" s="69"/>
    </row>
    <row r="27" spans="1:56" ht="12.5" thickBot="1">
      <c r="A27" s="106" t="s">
        <v>68</v>
      </c>
      <c r="B27" s="113" t="s">
        <v>156</v>
      </c>
      <c r="C27" s="76">
        <v>-19344</v>
      </c>
      <c r="D27" s="76">
        <v>-21498</v>
      </c>
      <c r="E27" s="76">
        <v>-20919</v>
      </c>
      <c r="F27" s="76">
        <v>-21887</v>
      </c>
      <c r="G27" s="76">
        <v>-21064</v>
      </c>
      <c r="H27" s="76">
        <v>-25780</v>
      </c>
      <c r="I27" s="76">
        <v>-24798</v>
      </c>
      <c r="J27" s="76">
        <v>-28465</v>
      </c>
      <c r="K27" s="76">
        <v>-27030</v>
      </c>
      <c r="L27" s="76">
        <v>-29157</v>
      </c>
      <c r="M27" s="76">
        <f>SUM(M17:M26)</f>
        <v>-29047</v>
      </c>
      <c r="N27" s="76">
        <f>SUM(N17:N26)</f>
        <v>-31749</v>
      </c>
      <c r="O27" s="76">
        <v>-29981</v>
      </c>
      <c r="P27" s="76">
        <v>-33646</v>
      </c>
      <c r="Q27" s="76">
        <v>-35526</v>
      </c>
      <c r="R27" s="76">
        <v>-36582</v>
      </c>
      <c r="S27" s="76">
        <v>-36698</v>
      </c>
      <c r="T27" s="76">
        <f t="shared" ref="T27:V27" si="24">SUM(T17:T26)</f>
        <v>-41276</v>
      </c>
      <c r="U27" s="76">
        <f t="shared" si="24"/>
        <v>-42434</v>
      </c>
      <c r="V27" s="76">
        <f t="shared" si="24"/>
        <v>-42768</v>
      </c>
      <c r="W27" s="76">
        <f t="shared" ref="W27:Y27" si="25">SUM(W17:W26)</f>
        <v>-38356.305860000008</v>
      </c>
      <c r="X27" s="76">
        <f t="shared" si="25"/>
        <v>-46271.184629999982</v>
      </c>
      <c r="Y27" s="76">
        <f t="shared" si="25"/>
        <v>-59964.636670000051</v>
      </c>
      <c r="Z27" s="76">
        <f>SUM(Z17:Z26)</f>
        <v>-56142.62743000011</v>
      </c>
      <c r="AA27" s="266">
        <f t="shared" ref="AA27:AJ27" si="26">SUM(AA17:AA26)</f>
        <v>-53135.626330000006</v>
      </c>
      <c r="AB27" s="266">
        <f t="shared" si="26"/>
        <v>-45039.50604999996</v>
      </c>
      <c r="AC27" s="266">
        <f t="shared" si="26"/>
        <v>-55365.804150000025</v>
      </c>
      <c r="AD27" s="266">
        <f t="shared" si="26"/>
        <v>-47817.103349999976</v>
      </c>
      <c r="AE27" s="266">
        <f t="shared" si="26"/>
        <v>-41217</v>
      </c>
      <c r="AF27" s="266">
        <f t="shared" si="26"/>
        <v>-44545</v>
      </c>
      <c r="AG27" s="266">
        <f t="shared" si="26"/>
        <v>-50332</v>
      </c>
      <c r="AH27" s="266">
        <f t="shared" si="26"/>
        <v>-45544</v>
      </c>
      <c r="AI27" s="266">
        <f t="shared" si="26"/>
        <v>-47091</v>
      </c>
      <c r="AJ27" s="266">
        <f t="shared" si="26"/>
        <v>-54376</v>
      </c>
      <c r="AS27" s="1"/>
      <c r="AU27" s="69"/>
      <c r="AV27" s="1"/>
      <c r="BD27" s="69"/>
    </row>
    <row r="28" spans="1:56">
      <c r="A28" s="1"/>
      <c r="AS28" s="1"/>
      <c r="AU28" s="69"/>
      <c r="AV28" s="1"/>
      <c r="BD28" s="69"/>
    </row>
    <row r="29" spans="1:56" s="190" customFormat="1" ht="24.5" thickBot="1">
      <c r="A29" s="171" t="s">
        <v>500</v>
      </c>
      <c r="B29" s="171" t="s">
        <v>169</v>
      </c>
      <c r="C29" s="188" t="s">
        <v>189</v>
      </c>
      <c r="D29" s="188" t="s">
        <v>191</v>
      </c>
      <c r="E29" s="188" t="s">
        <v>197</v>
      </c>
      <c r="F29" s="188" t="s">
        <v>215</v>
      </c>
      <c r="G29" s="188" t="s">
        <v>219</v>
      </c>
      <c r="H29" s="188" t="s">
        <v>237</v>
      </c>
      <c r="I29" s="188" t="s">
        <v>240</v>
      </c>
      <c r="J29" s="188" t="s">
        <v>243</v>
      </c>
      <c r="K29" s="188" t="s">
        <v>245</v>
      </c>
      <c r="L29" s="188" t="s">
        <v>253</v>
      </c>
      <c r="M29" s="188" t="s">
        <v>256</v>
      </c>
      <c r="N29" s="188" t="s">
        <v>260</v>
      </c>
      <c r="O29" s="188" t="s">
        <v>262</v>
      </c>
      <c r="P29" s="188" t="s">
        <v>273</v>
      </c>
      <c r="Q29" s="188" t="s">
        <v>276</v>
      </c>
      <c r="R29" s="188" t="s">
        <v>283</v>
      </c>
      <c r="S29" s="188" t="s">
        <v>285</v>
      </c>
      <c r="T29" s="188" t="s">
        <v>364</v>
      </c>
      <c r="U29" s="188" t="s">
        <v>403</v>
      </c>
      <c r="V29" s="188" t="s">
        <v>408</v>
      </c>
      <c r="W29" s="188" t="s">
        <v>411</v>
      </c>
      <c r="X29" s="188" t="s">
        <v>421</v>
      </c>
      <c r="Y29" s="188" t="s">
        <v>425</v>
      </c>
      <c r="Z29" s="188" t="s">
        <v>434</v>
      </c>
      <c r="AA29" s="254" t="s">
        <v>510</v>
      </c>
      <c r="AB29" s="254" t="s">
        <v>590</v>
      </c>
      <c r="AC29" s="254" t="s">
        <v>596</v>
      </c>
      <c r="AD29" s="254" t="s">
        <v>607</v>
      </c>
      <c r="AE29" s="254" t="s">
        <v>612</v>
      </c>
      <c r="AF29" s="254" t="s">
        <v>617</v>
      </c>
      <c r="AG29" s="254" t="s">
        <v>629</v>
      </c>
      <c r="AH29" s="254" t="s">
        <v>636</v>
      </c>
      <c r="AI29" s="254" t="s">
        <v>643</v>
      </c>
      <c r="AJ29" s="254" t="s">
        <v>651</v>
      </c>
      <c r="AT29" s="198"/>
      <c r="AU29" s="198"/>
      <c r="AW29" s="198"/>
      <c r="AX29" s="198"/>
      <c r="AY29" s="198"/>
      <c r="AZ29" s="198"/>
      <c r="BA29" s="198"/>
      <c r="BB29" s="198"/>
      <c r="BC29" s="198"/>
      <c r="BD29" s="198"/>
    </row>
    <row r="30" spans="1:56">
      <c r="A30" s="102" t="s">
        <v>59</v>
      </c>
      <c r="B30" s="111" t="s">
        <v>146</v>
      </c>
      <c r="C30" s="72">
        <v>22932</v>
      </c>
      <c r="D30" s="72">
        <v>23193</v>
      </c>
      <c r="E30" s="72">
        <v>22997</v>
      </c>
      <c r="F30" s="72">
        <v>22368</v>
      </c>
      <c r="G30" s="72">
        <v>21685</v>
      </c>
      <c r="H30" s="72">
        <v>21256</v>
      </c>
      <c r="I30" s="72">
        <v>22158</v>
      </c>
      <c r="J30" s="72">
        <v>19682</v>
      </c>
      <c r="K30" s="72">
        <v>19704</v>
      </c>
      <c r="L30" s="72">
        <v>20315</v>
      </c>
      <c r="M30" s="72">
        <f>M4+M17</f>
        <v>19833</v>
      </c>
      <c r="N30" s="72">
        <f>N4+N17</f>
        <v>19999</v>
      </c>
      <c r="O30" s="72">
        <f t="shared" ref="O30:R39" si="27">O4+O17</f>
        <v>19354</v>
      </c>
      <c r="P30" s="72">
        <f t="shared" si="27"/>
        <v>19285</v>
      </c>
      <c r="Q30" s="72">
        <f t="shared" si="27"/>
        <v>18243</v>
      </c>
      <c r="R30" s="72">
        <f t="shared" si="27"/>
        <v>19168</v>
      </c>
      <c r="S30" s="72">
        <f t="shared" ref="S30:S39" si="28">S4+S17</f>
        <v>20158</v>
      </c>
      <c r="T30" s="72">
        <f t="shared" ref="T30:Z39" si="29">+T4+T17</f>
        <v>20376</v>
      </c>
      <c r="U30" s="72">
        <f t="shared" si="29"/>
        <v>20308</v>
      </c>
      <c r="V30" s="72">
        <f t="shared" si="29"/>
        <v>18272</v>
      </c>
      <c r="W30" s="72">
        <f t="shared" si="29"/>
        <v>18715.730240000001</v>
      </c>
      <c r="X30" s="72">
        <f t="shared" si="29"/>
        <v>18625.583739999995</v>
      </c>
      <c r="Y30" s="72">
        <f t="shared" si="29"/>
        <v>19199.897510000003</v>
      </c>
      <c r="Z30" s="72">
        <f>+Z4+Z17</f>
        <v>17976.004469999993</v>
      </c>
      <c r="AA30" s="267">
        <f t="shared" ref="AA30:AJ39" si="30">+AA4+AA17</f>
        <v>18970.078550000002</v>
      </c>
      <c r="AB30" s="267">
        <f t="shared" si="30"/>
        <v>18878.677919999995</v>
      </c>
      <c r="AC30" s="267">
        <f t="shared" si="30"/>
        <v>22190.546050000012</v>
      </c>
      <c r="AD30" s="267">
        <f t="shared" si="30"/>
        <v>22184.929309999992</v>
      </c>
      <c r="AE30" s="267">
        <f t="shared" si="30"/>
        <v>40780</v>
      </c>
      <c r="AF30" s="267">
        <f t="shared" si="30"/>
        <v>26829</v>
      </c>
      <c r="AG30" s="267">
        <f t="shared" si="30"/>
        <v>29624</v>
      </c>
      <c r="AH30" s="267">
        <f t="shared" si="30"/>
        <v>28214</v>
      </c>
      <c r="AI30" s="267">
        <f t="shared" si="30"/>
        <v>37730</v>
      </c>
      <c r="AJ30" s="267">
        <f t="shared" si="30"/>
        <v>27845</v>
      </c>
      <c r="AS30" s="1"/>
      <c r="AU30" s="69"/>
      <c r="AV30" s="1"/>
      <c r="BD30" s="69"/>
    </row>
    <row r="31" spans="1:56" ht="36">
      <c r="A31" s="102" t="s">
        <v>69</v>
      </c>
      <c r="B31" s="112" t="s">
        <v>147</v>
      </c>
      <c r="C31" s="73">
        <v>10876</v>
      </c>
      <c r="D31" s="73">
        <v>11351</v>
      </c>
      <c r="E31" s="73">
        <v>11400</v>
      </c>
      <c r="F31" s="73">
        <v>11704</v>
      </c>
      <c r="G31" s="73">
        <v>11230</v>
      </c>
      <c r="H31" s="73">
        <v>11903</v>
      </c>
      <c r="I31" s="73">
        <v>11948</v>
      </c>
      <c r="J31" s="73">
        <v>12618</v>
      </c>
      <c r="K31" s="73">
        <v>12063</v>
      </c>
      <c r="L31" s="73">
        <v>12962</v>
      </c>
      <c r="M31" s="73">
        <f t="shared" ref="M31:N39" si="31">M5+M18</f>
        <v>13045</v>
      </c>
      <c r="N31" s="73">
        <f t="shared" si="31"/>
        <v>13461</v>
      </c>
      <c r="O31" s="73">
        <f t="shared" si="27"/>
        <v>13272</v>
      </c>
      <c r="P31" s="73">
        <f t="shared" si="27"/>
        <v>14372</v>
      </c>
      <c r="Q31" s="73">
        <f t="shared" si="27"/>
        <v>15256</v>
      </c>
      <c r="R31" s="73">
        <f t="shared" si="27"/>
        <v>16255</v>
      </c>
      <c r="S31" s="73">
        <f t="shared" si="28"/>
        <v>17405</v>
      </c>
      <c r="T31" s="73">
        <f t="shared" ref="T31:U39" si="32">+T5+T18</f>
        <v>16800</v>
      </c>
      <c r="U31" s="73">
        <f t="shared" si="32"/>
        <v>16753</v>
      </c>
      <c r="V31" s="73">
        <f t="shared" ref="V31:V39" si="33">+V5+V18</f>
        <v>17317</v>
      </c>
      <c r="W31" s="73">
        <f t="shared" si="29"/>
        <v>16413.442999999999</v>
      </c>
      <c r="X31" s="73">
        <f t="shared" si="29"/>
        <v>17761.768999999997</v>
      </c>
      <c r="Y31" s="73">
        <f t="shared" si="29"/>
        <v>18034.151000000005</v>
      </c>
      <c r="Z31" s="73">
        <f t="shared" si="29"/>
        <v>16859.546999999991</v>
      </c>
      <c r="AA31" s="265">
        <f t="shared" si="30"/>
        <v>15425.972000000002</v>
      </c>
      <c r="AB31" s="265">
        <f t="shared" si="30"/>
        <v>14650.212</v>
      </c>
      <c r="AC31" s="265">
        <f t="shared" si="30"/>
        <v>16480.290999999997</v>
      </c>
      <c r="AD31" s="265">
        <f t="shared" si="30"/>
        <v>16571.564000000009</v>
      </c>
      <c r="AE31" s="265">
        <f>+AE5+AE18</f>
        <v>17332</v>
      </c>
      <c r="AF31" s="265">
        <f t="shared" si="30"/>
        <v>18126</v>
      </c>
      <c r="AG31" s="265">
        <f t="shared" si="30"/>
        <v>18942</v>
      </c>
      <c r="AH31" s="265">
        <f t="shared" si="30"/>
        <v>19845</v>
      </c>
      <c r="AI31" s="265">
        <f t="shared" si="30"/>
        <v>20097</v>
      </c>
      <c r="AJ31" s="265">
        <f t="shared" si="30"/>
        <v>21732</v>
      </c>
      <c r="AS31" s="1"/>
      <c r="AU31" s="69"/>
      <c r="AV31" s="1"/>
      <c r="BD31" s="69"/>
    </row>
    <row r="32" spans="1:56">
      <c r="A32" s="102" t="s">
        <v>60</v>
      </c>
      <c r="B32" s="112" t="s">
        <v>148</v>
      </c>
      <c r="C32" s="73">
        <v>19378</v>
      </c>
      <c r="D32" s="73">
        <v>16942</v>
      </c>
      <c r="E32" s="73">
        <v>16321</v>
      </c>
      <c r="F32" s="73">
        <v>19232</v>
      </c>
      <c r="G32" s="73">
        <v>25233</v>
      </c>
      <c r="H32" s="73">
        <v>23445</v>
      </c>
      <c r="I32" s="73">
        <v>26187</v>
      </c>
      <c r="J32" s="73">
        <v>25015</v>
      </c>
      <c r="K32" s="73">
        <v>31026</v>
      </c>
      <c r="L32" s="73">
        <v>29500</v>
      </c>
      <c r="M32" s="73">
        <f t="shared" si="31"/>
        <v>29315</v>
      </c>
      <c r="N32" s="73">
        <f t="shared" si="31"/>
        <v>31280</v>
      </c>
      <c r="O32" s="73">
        <f t="shared" si="27"/>
        <v>34634</v>
      </c>
      <c r="P32" s="73">
        <f t="shared" si="27"/>
        <v>31615</v>
      </c>
      <c r="Q32" s="73">
        <f t="shared" si="27"/>
        <v>32782</v>
      </c>
      <c r="R32" s="73">
        <f t="shared" si="27"/>
        <v>33248</v>
      </c>
      <c r="S32" s="73">
        <f t="shared" si="28"/>
        <v>34622</v>
      </c>
      <c r="T32" s="73">
        <f t="shared" si="32"/>
        <v>32603</v>
      </c>
      <c r="U32" s="73">
        <f t="shared" si="32"/>
        <v>31768</v>
      </c>
      <c r="V32" s="73">
        <f t="shared" si="33"/>
        <v>36701</v>
      </c>
      <c r="W32" s="73">
        <f t="shared" si="29"/>
        <v>36263.404160000006</v>
      </c>
      <c r="X32" s="73">
        <f t="shared" si="29"/>
        <v>36577.494429999992</v>
      </c>
      <c r="Y32" s="73">
        <f t="shared" si="29"/>
        <v>41499.448489999988</v>
      </c>
      <c r="Z32" s="73">
        <f t="shared" si="29"/>
        <v>46608.700879999975</v>
      </c>
      <c r="AA32" s="265">
        <f t="shared" si="30"/>
        <v>41203.766550000008</v>
      </c>
      <c r="AB32" s="265">
        <f t="shared" si="30"/>
        <v>35858.801759999995</v>
      </c>
      <c r="AC32" s="265">
        <f t="shared" si="30"/>
        <v>38436.952769999996</v>
      </c>
      <c r="AD32" s="265">
        <f t="shared" si="30"/>
        <v>42466.718220000002</v>
      </c>
      <c r="AE32" s="265">
        <f t="shared" si="30"/>
        <v>43567</v>
      </c>
      <c r="AF32" s="265">
        <f t="shared" si="30"/>
        <v>47101</v>
      </c>
      <c r="AG32" s="265">
        <f t="shared" si="30"/>
        <v>43867</v>
      </c>
      <c r="AH32" s="265">
        <f t="shared" si="30"/>
        <v>49772</v>
      </c>
      <c r="AI32" s="265">
        <f t="shared" si="30"/>
        <v>53368</v>
      </c>
      <c r="AJ32" s="265">
        <f t="shared" si="30"/>
        <v>50455</v>
      </c>
      <c r="AS32" s="1"/>
      <c r="AU32" s="69"/>
      <c r="AV32" s="1"/>
      <c r="BD32" s="69"/>
    </row>
    <row r="33" spans="1:60">
      <c r="A33" s="102" t="s">
        <v>61</v>
      </c>
      <c r="B33" s="112" t="s">
        <v>149</v>
      </c>
      <c r="C33" s="73">
        <v>3602</v>
      </c>
      <c r="D33" s="73">
        <v>3120</v>
      </c>
      <c r="E33" s="73">
        <v>2991</v>
      </c>
      <c r="F33" s="73">
        <v>3066</v>
      </c>
      <c r="G33" s="73">
        <v>3576</v>
      </c>
      <c r="H33" s="73">
        <v>3019</v>
      </c>
      <c r="I33" s="73">
        <v>2902</v>
      </c>
      <c r="J33" s="73">
        <v>3020</v>
      </c>
      <c r="K33" s="73">
        <v>3748</v>
      </c>
      <c r="L33" s="73">
        <v>2921</v>
      </c>
      <c r="M33" s="73">
        <f t="shared" si="31"/>
        <v>2617</v>
      </c>
      <c r="N33" s="73">
        <f t="shared" si="31"/>
        <v>2975</v>
      </c>
      <c r="O33" s="73">
        <f t="shared" si="27"/>
        <v>3640</v>
      </c>
      <c r="P33" s="73">
        <f t="shared" si="27"/>
        <v>2899</v>
      </c>
      <c r="Q33" s="73">
        <f t="shared" si="27"/>
        <v>2871</v>
      </c>
      <c r="R33" s="73">
        <f t="shared" si="27"/>
        <v>2748</v>
      </c>
      <c r="S33" s="73">
        <f t="shared" si="28"/>
        <v>3810</v>
      </c>
      <c r="T33" s="73">
        <f t="shared" si="32"/>
        <v>3355</v>
      </c>
      <c r="U33" s="73">
        <f t="shared" si="32"/>
        <v>3610</v>
      </c>
      <c r="V33" s="73">
        <f t="shared" si="33"/>
        <v>4397</v>
      </c>
      <c r="W33" s="73">
        <f t="shared" si="29"/>
        <v>3569.0448099999999</v>
      </c>
      <c r="X33" s="73">
        <f t="shared" si="29"/>
        <v>3168.70145</v>
      </c>
      <c r="Y33" s="73">
        <f t="shared" si="29"/>
        <v>3524.0169999999998</v>
      </c>
      <c r="Z33" s="73">
        <f t="shared" si="29"/>
        <v>3528.3346700000002</v>
      </c>
      <c r="AA33" s="265">
        <f t="shared" si="30"/>
        <v>3759.0601299999998</v>
      </c>
      <c r="AB33" s="265">
        <f t="shared" si="30"/>
        <v>3191.4981200000002</v>
      </c>
      <c r="AC33" s="265">
        <f t="shared" si="30"/>
        <v>3382.5272100000002</v>
      </c>
      <c r="AD33" s="265">
        <f t="shared" si="30"/>
        <v>3465.6883600000001</v>
      </c>
      <c r="AE33" s="265">
        <f t="shared" si="30"/>
        <v>3229</v>
      </c>
      <c r="AF33" s="265">
        <f t="shared" si="30"/>
        <v>3430</v>
      </c>
      <c r="AG33" s="265">
        <f t="shared" si="30"/>
        <v>3269</v>
      </c>
      <c r="AH33" s="265">
        <f t="shared" si="30"/>
        <v>3497</v>
      </c>
      <c r="AI33" s="265">
        <f t="shared" si="30"/>
        <v>3876</v>
      </c>
      <c r="AJ33" s="265">
        <f t="shared" si="30"/>
        <v>3186</v>
      </c>
      <c r="AS33" s="1"/>
      <c r="AU33" s="69"/>
      <c r="AV33" s="1"/>
      <c r="BD33" s="69"/>
    </row>
    <row r="34" spans="1:60">
      <c r="A34" s="102" t="s">
        <v>62</v>
      </c>
      <c r="B34" s="112" t="s">
        <v>150</v>
      </c>
      <c r="C34" s="73">
        <v>37848</v>
      </c>
      <c r="D34" s="73">
        <v>39379</v>
      </c>
      <c r="E34" s="73">
        <v>25686</v>
      </c>
      <c r="F34" s="73">
        <v>25469</v>
      </c>
      <c r="G34" s="73">
        <v>18570</v>
      </c>
      <c r="H34" s="73">
        <v>18576</v>
      </c>
      <c r="I34" s="73">
        <v>18729</v>
      </c>
      <c r="J34" s="73">
        <v>18834</v>
      </c>
      <c r="K34" s="73">
        <v>18602</v>
      </c>
      <c r="L34" s="73">
        <v>19299</v>
      </c>
      <c r="M34" s="73">
        <f t="shared" si="31"/>
        <v>20406</v>
      </c>
      <c r="N34" s="73">
        <f t="shared" si="31"/>
        <v>20323</v>
      </c>
      <c r="O34" s="73">
        <f t="shared" si="27"/>
        <v>20662</v>
      </c>
      <c r="P34" s="73">
        <f t="shared" si="27"/>
        <v>20898</v>
      </c>
      <c r="Q34" s="73">
        <f t="shared" si="27"/>
        <v>21871</v>
      </c>
      <c r="R34" s="73">
        <f t="shared" si="27"/>
        <v>21053</v>
      </c>
      <c r="S34" s="73">
        <f t="shared" si="28"/>
        <v>19871</v>
      </c>
      <c r="T34" s="73">
        <f t="shared" si="32"/>
        <v>20426</v>
      </c>
      <c r="U34" s="73">
        <f t="shared" si="32"/>
        <v>22706</v>
      </c>
      <c r="V34" s="73">
        <f t="shared" si="33"/>
        <v>25444</v>
      </c>
      <c r="W34" s="73">
        <f t="shared" si="29"/>
        <v>24033.927</v>
      </c>
      <c r="X34" s="73">
        <f t="shared" si="29"/>
        <v>25159.548939999997</v>
      </c>
      <c r="Y34" s="73">
        <f t="shared" si="29"/>
        <v>24156.311969999988</v>
      </c>
      <c r="Z34" s="73">
        <f t="shared" si="29"/>
        <v>25443.163000000015</v>
      </c>
      <c r="AA34" s="265">
        <f t="shared" si="30"/>
        <v>27959.826999999997</v>
      </c>
      <c r="AB34" s="265">
        <f t="shared" si="30"/>
        <v>31495.199999999997</v>
      </c>
      <c r="AC34" s="265">
        <f t="shared" si="30"/>
        <v>29883.108</v>
      </c>
      <c r="AD34" s="265">
        <f t="shared" si="30"/>
        <v>38233.955000000016</v>
      </c>
      <c r="AE34" s="265">
        <f t="shared" si="30"/>
        <v>30276</v>
      </c>
      <c r="AF34" s="265">
        <f t="shared" si="30"/>
        <v>38428</v>
      </c>
      <c r="AG34" s="265">
        <f t="shared" si="30"/>
        <v>38032</v>
      </c>
      <c r="AH34" s="265">
        <f t="shared" si="30"/>
        <v>42452</v>
      </c>
      <c r="AI34" s="265">
        <f t="shared" si="30"/>
        <v>36989</v>
      </c>
      <c r="AJ34" s="265">
        <f t="shared" si="30"/>
        <v>42658</v>
      </c>
      <c r="AS34" s="1"/>
      <c r="AU34" s="69"/>
      <c r="AV34" s="1"/>
      <c r="BD34" s="69"/>
    </row>
    <row r="35" spans="1:60">
      <c r="A35" s="102" t="s">
        <v>63</v>
      </c>
      <c r="B35" s="112" t="s">
        <v>151</v>
      </c>
      <c r="C35" s="73">
        <v>12465</v>
      </c>
      <c r="D35" s="73">
        <v>23605</v>
      </c>
      <c r="E35" s="73">
        <v>24738</v>
      </c>
      <c r="F35" s="73">
        <v>15358</v>
      </c>
      <c r="G35" s="73">
        <v>27072</v>
      </c>
      <c r="H35" s="73">
        <v>13956</v>
      </c>
      <c r="I35" s="73">
        <v>21336</v>
      </c>
      <c r="J35" s="73">
        <v>21033</v>
      </c>
      <c r="K35" s="73">
        <v>11666</v>
      </c>
      <c r="L35" s="73">
        <v>14034</v>
      </c>
      <c r="M35" s="73">
        <f t="shared" si="31"/>
        <v>19731</v>
      </c>
      <c r="N35" s="73">
        <f t="shared" si="31"/>
        <v>22021</v>
      </c>
      <c r="O35" s="73">
        <f t="shared" si="27"/>
        <v>24736</v>
      </c>
      <c r="P35" s="73">
        <f t="shared" si="27"/>
        <v>24168</v>
      </c>
      <c r="Q35" s="73">
        <f t="shared" si="27"/>
        <v>24620</v>
      </c>
      <c r="R35" s="73">
        <f t="shared" si="27"/>
        <v>25075</v>
      </c>
      <c r="S35" s="73">
        <f t="shared" si="28"/>
        <v>29978</v>
      </c>
      <c r="T35" s="73">
        <f t="shared" si="32"/>
        <v>23978</v>
      </c>
      <c r="U35" s="73">
        <f t="shared" si="32"/>
        <v>24643</v>
      </c>
      <c r="V35" s="73">
        <f t="shared" si="33"/>
        <v>24134</v>
      </c>
      <c r="W35" s="73">
        <f t="shared" si="29"/>
        <v>26698.565420000003</v>
      </c>
      <c r="X35" s="73">
        <f t="shared" si="29"/>
        <v>36039.293590000008</v>
      </c>
      <c r="Y35" s="73">
        <f t="shared" si="29"/>
        <v>36094.073669999991</v>
      </c>
      <c r="Z35" s="73">
        <f t="shared" si="29"/>
        <v>39514.138050000001</v>
      </c>
      <c r="AA35" s="265">
        <f t="shared" si="30"/>
        <v>51756.258390000003</v>
      </c>
      <c r="AB35" s="265">
        <f t="shared" si="30"/>
        <v>41522.192609999998</v>
      </c>
      <c r="AC35" s="265">
        <f t="shared" si="30"/>
        <v>30272.995000000003</v>
      </c>
      <c r="AD35" s="265">
        <f t="shared" si="30"/>
        <v>29729.131000000001</v>
      </c>
      <c r="AE35" s="265">
        <f t="shared" si="30"/>
        <v>33774</v>
      </c>
      <c r="AF35" s="265">
        <f t="shared" si="30"/>
        <v>39472</v>
      </c>
      <c r="AG35" s="265">
        <f t="shared" si="30"/>
        <v>32788</v>
      </c>
      <c r="AH35" s="265">
        <f t="shared" si="30"/>
        <v>35754</v>
      </c>
      <c r="AI35" s="265">
        <f t="shared" si="30"/>
        <v>38672</v>
      </c>
      <c r="AJ35" s="265">
        <f t="shared" si="30"/>
        <v>38469</v>
      </c>
      <c r="AS35" s="1"/>
      <c r="AU35" s="69"/>
      <c r="AV35" s="1"/>
      <c r="BD35" s="69"/>
    </row>
    <row r="36" spans="1:60" ht="24">
      <c r="A36" s="102" t="s">
        <v>64</v>
      </c>
      <c r="B36" s="112" t="s">
        <v>152</v>
      </c>
      <c r="C36" s="73">
        <v>21569</v>
      </c>
      <c r="D36" s="73">
        <v>20269</v>
      </c>
      <c r="E36" s="73">
        <v>21561</v>
      </c>
      <c r="F36" s="73">
        <v>20389</v>
      </c>
      <c r="G36" s="73">
        <v>22217</v>
      </c>
      <c r="H36" s="73">
        <v>28392</v>
      </c>
      <c r="I36" s="73">
        <v>22227</v>
      </c>
      <c r="J36" s="73">
        <v>14547</v>
      </c>
      <c r="K36" s="73">
        <v>14266</v>
      </c>
      <c r="L36" s="73">
        <v>17032</v>
      </c>
      <c r="M36" s="73">
        <f t="shared" si="31"/>
        <v>20989</v>
      </c>
      <c r="N36" s="73">
        <f t="shared" si="31"/>
        <v>21328</v>
      </c>
      <c r="O36" s="73">
        <f t="shared" si="27"/>
        <v>23562</v>
      </c>
      <c r="P36" s="73">
        <f t="shared" si="27"/>
        <v>22214</v>
      </c>
      <c r="Q36" s="73">
        <f t="shared" si="27"/>
        <v>21602</v>
      </c>
      <c r="R36" s="73">
        <f t="shared" si="27"/>
        <v>21834</v>
      </c>
      <c r="S36" s="73">
        <f t="shared" si="28"/>
        <v>17636</v>
      </c>
      <c r="T36" s="73">
        <f t="shared" si="32"/>
        <v>19126</v>
      </c>
      <c r="U36" s="73">
        <f t="shared" si="32"/>
        <v>18625</v>
      </c>
      <c r="V36" s="73">
        <f t="shared" si="33"/>
        <v>13228</v>
      </c>
      <c r="W36" s="73">
        <f t="shared" si="29"/>
        <v>14893.317499999999</v>
      </c>
      <c r="X36" s="73">
        <f t="shared" si="29"/>
        <v>15943.773600000002</v>
      </c>
      <c r="Y36" s="73">
        <f t="shared" si="29"/>
        <v>15362.571499999995</v>
      </c>
      <c r="Z36" s="73">
        <f t="shared" si="29"/>
        <v>14476.967400000001</v>
      </c>
      <c r="AA36" s="265">
        <f t="shared" si="30"/>
        <v>14431.624099999999</v>
      </c>
      <c r="AB36" s="265">
        <f t="shared" si="30"/>
        <v>14555.054700000002</v>
      </c>
      <c r="AC36" s="265">
        <f t="shared" si="30"/>
        <v>18615.659899999999</v>
      </c>
      <c r="AD36" s="265">
        <f t="shared" si="30"/>
        <v>18356.736500000006</v>
      </c>
      <c r="AE36" s="265">
        <f t="shared" si="30"/>
        <v>17153</v>
      </c>
      <c r="AF36" s="265">
        <f t="shared" si="30"/>
        <v>17664</v>
      </c>
      <c r="AG36" s="265">
        <f t="shared" si="30"/>
        <v>15062</v>
      </c>
      <c r="AH36" s="265">
        <f t="shared" si="30"/>
        <v>13997</v>
      </c>
      <c r="AI36" s="265">
        <f t="shared" si="30"/>
        <v>11351</v>
      </c>
      <c r="AJ36" s="265">
        <f t="shared" si="30"/>
        <v>9407</v>
      </c>
      <c r="AS36" s="1"/>
      <c r="AU36" s="69"/>
      <c r="AV36" s="1"/>
      <c r="BD36" s="69"/>
    </row>
    <row r="37" spans="1:60">
      <c r="A37" s="102" t="s">
        <v>65</v>
      </c>
      <c r="B37" s="112" t="s">
        <v>153</v>
      </c>
      <c r="C37" s="73">
        <v>4765</v>
      </c>
      <c r="D37" s="73">
        <v>3706</v>
      </c>
      <c r="E37" s="73">
        <v>3663</v>
      </c>
      <c r="F37" s="73">
        <v>4114</v>
      </c>
      <c r="G37" s="73">
        <v>5756</v>
      </c>
      <c r="H37" s="73">
        <v>3558</v>
      </c>
      <c r="I37" s="73">
        <v>3748</v>
      </c>
      <c r="J37" s="73">
        <v>4017</v>
      </c>
      <c r="K37" s="73">
        <v>3573</v>
      </c>
      <c r="L37" s="73">
        <v>4148</v>
      </c>
      <c r="M37" s="73">
        <f t="shared" si="31"/>
        <v>4239</v>
      </c>
      <c r="N37" s="73">
        <f t="shared" si="31"/>
        <v>4757</v>
      </c>
      <c r="O37" s="73">
        <f t="shared" si="27"/>
        <v>4793</v>
      </c>
      <c r="P37" s="73">
        <f t="shared" si="27"/>
        <v>4172</v>
      </c>
      <c r="Q37" s="73">
        <f t="shared" si="27"/>
        <v>4063</v>
      </c>
      <c r="R37" s="73">
        <f t="shared" si="27"/>
        <v>5209</v>
      </c>
      <c r="S37" s="73">
        <f t="shared" si="28"/>
        <v>3979</v>
      </c>
      <c r="T37" s="73">
        <f t="shared" si="32"/>
        <v>3978</v>
      </c>
      <c r="U37" s="73">
        <f t="shared" si="32"/>
        <v>3489</v>
      </c>
      <c r="V37" s="73">
        <f t="shared" si="33"/>
        <v>3203</v>
      </c>
      <c r="W37" s="73">
        <f t="shared" si="29"/>
        <v>2949.6473000000001</v>
      </c>
      <c r="X37" s="73">
        <f t="shared" si="29"/>
        <v>2629.0479</v>
      </c>
      <c r="Y37" s="73">
        <f t="shared" si="29"/>
        <v>2692.2345999999989</v>
      </c>
      <c r="Z37" s="73">
        <f t="shared" si="29"/>
        <v>2829.5009000000018</v>
      </c>
      <c r="AA37" s="265">
        <f t="shared" si="30"/>
        <v>3636.6408000000006</v>
      </c>
      <c r="AB37" s="265">
        <f t="shared" si="30"/>
        <v>4254.3538000000008</v>
      </c>
      <c r="AC37" s="265">
        <f t="shared" si="30"/>
        <v>3873.0324999999975</v>
      </c>
      <c r="AD37" s="265">
        <f t="shared" si="30"/>
        <v>4074.1810200000014</v>
      </c>
      <c r="AE37" s="265">
        <f t="shared" si="30"/>
        <v>4195</v>
      </c>
      <c r="AF37" s="265">
        <f t="shared" si="30"/>
        <v>3380</v>
      </c>
      <c r="AG37" s="265">
        <f t="shared" si="30"/>
        <v>3008</v>
      </c>
      <c r="AH37" s="265">
        <f t="shared" si="30"/>
        <v>3589</v>
      </c>
      <c r="AI37" s="265">
        <f t="shared" si="30"/>
        <v>4139</v>
      </c>
      <c r="AJ37" s="265">
        <f t="shared" si="30"/>
        <v>2101</v>
      </c>
      <c r="AS37" s="1"/>
      <c r="AU37" s="69"/>
      <c r="AV37" s="1"/>
      <c r="BD37" s="69"/>
    </row>
    <row r="38" spans="1:60" ht="24">
      <c r="A38" s="102" t="s">
        <v>66</v>
      </c>
      <c r="B38" s="112" t="s">
        <v>154</v>
      </c>
      <c r="C38" s="73">
        <v>19992</v>
      </c>
      <c r="D38" s="73">
        <v>19300</v>
      </c>
      <c r="E38" s="73">
        <v>19485</v>
      </c>
      <c r="F38" s="73">
        <v>18717</v>
      </c>
      <c r="G38" s="73">
        <v>19025</v>
      </c>
      <c r="H38" s="73">
        <v>20958</v>
      </c>
      <c r="I38" s="73">
        <v>20161</v>
      </c>
      <c r="J38" s="73">
        <v>19212</v>
      </c>
      <c r="K38" s="73">
        <v>17434</v>
      </c>
      <c r="L38" s="73">
        <v>17543</v>
      </c>
      <c r="M38" s="73">
        <f t="shared" si="31"/>
        <v>17830</v>
      </c>
      <c r="N38" s="73">
        <f t="shared" si="31"/>
        <v>18253</v>
      </c>
      <c r="O38" s="73">
        <f t="shared" si="27"/>
        <v>18792</v>
      </c>
      <c r="P38" s="73">
        <f t="shared" si="27"/>
        <v>20265</v>
      </c>
      <c r="Q38" s="73">
        <f t="shared" si="27"/>
        <v>21482</v>
      </c>
      <c r="R38" s="73">
        <f t="shared" si="27"/>
        <v>21794</v>
      </c>
      <c r="S38" s="73">
        <f t="shared" si="28"/>
        <v>21378</v>
      </c>
      <c r="T38" s="73">
        <f t="shared" si="32"/>
        <v>21075</v>
      </c>
      <c r="U38" s="73">
        <f t="shared" si="32"/>
        <v>19341</v>
      </c>
      <c r="V38" s="73">
        <f t="shared" si="33"/>
        <v>16801</v>
      </c>
      <c r="W38" s="73">
        <f t="shared" si="29"/>
        <v>16116.121799999999</v>
      </c>
      <c r="X38" s="73">
        <f t="shared" si="29"/>
        <v>16963.283200000002</v>
      </c>
      <c r="Y38" s="73">
        <f t="shared" si="29"/>
        <v>15987.410200000002</v>
      </c>
      <c r="Z38" s="73">
        <f t="shared" si="29"/>
        <v>16290.393799999987</v>
      </c>
      <c r="AA38" s="265">
        <f t="shared" si="30"/>
        <v>14497.685700000002</v>
      </c>
      <c r="AB38" s="265">
        <f t="shared" si="30"/>
        <v>12269.841699999997</v>
      </c>
      <c r="AC38" s="265">
        <f t="shared" si="30"/>
        <v>14159.761000000004</v>
      </c>
      <c r="AD38" s="265">
        <f t="shared" si="30"/>
        <v>15597.040700000003</v>
      </c>
      <c r="AE38" s="265">
        <f t="shared" si="30"/>
        <v>12504</v>
      </c>
      <c r="AF38" s="265">
        <f t="shared" si="30"/>
        <v>14732</v>
      </c>
      <c r="AG38" s="265">
        <f t="shared" si="30"/>
        <v>16380</v>
      </c>
      <c r="AH38" s="265">
        <f t="shared" si="30"/>
        <v>17399</v>
      </c>
      <c r="AI38" s="265">
        <f t="shared" si="30"/>
        <v>13440</v>
      </c>
      <c r="AJ38" s="265">
        <f t="shared" si="30"/>
        <v>10906</v>
      </c>
      <c r="AS38" s="1"/>
      <c r="AU38" s="69"/>
      <c r="AV38" s="1"/>
      <c r="BD38" s="69"/>
    </row>
    <row r="39" spans="1:60" ht="12.5" thickBot="1">
      <c r="A39" s="102" t="s">
        <v>67</v>
      </c>
      <c r="B39" s="112" t="s">
        <v>155</v>
      </c>
      <c r="C39" s="73">
        <v>2068</v>
      </c>
      <c r="D39" s="73">
        <v>2224</v>
      </c>
      <c r="E39" s="73">
        <v>2048</v>
      </c>
      <c r="F39" s="73">
        <v>1782</v>
      </c>
      <c r="G39" s="73">
        <v>2386</v>
      </c>
      <c r="H39" s="73">
        <v>2326</v>
      </c>
      <c r="I39" s="73">
        <v>2191</v>
      </c>
      <c r="J39" s="73">
        <v>2469</v>
      </c>
      <c r="K39" s="73">
        <v>2270</v>
      </c>
      <c r="L39" s="73">
        <v>2030</v>
      </c>
      <c r="M39" s="73">
        <f t="shared" si="31"/>
        <v>2187</v>
      </c>
      <c r="N39" s="73">
        <f t="shared" si="31"/>
        <v>2299</v>
      </c>
      <c r="O39" s="73">
        <f t="shared" si="27"/>
        <v>2672</v>
      </c>
      <c r="P39" s="73">
        <f t="shared" si="27"/>
        <v>2630</v>
      </c>
      <c r="Q39" s="73">
        <f t="shared" si="27"/>
        <v>2748</v>
      </c>
      <c r="R39" s="73">
        <f t="shared" si="27"/>
        <v>2996</v>
      </c>
      <c r="S39" s="73">
        <f t="shared" si="28"/>
        <v>3667</v>
      </c>
      <c r="T39" s="73">
        <f t="shared" si="32"/>
        <v>2366</v>
      </c>
      <c r="U39" s="73">
        <f t="shared" si="32"/>
        <v>1670</v>
      </c>
      <c r="V39" s="73">
        <f t="shared" si="33"/>
        <v>2072</v>
      </c>
      <c r="W39" s="73">
        <f t="shared" si="29"/>
        <v>3520.8489100000338</v>
      </c>
      <c r="X39" s="73">
        <f t="shared" si="29"/>
        <v>2156.1268400003014</v>
      </c>
      <c r="Y39" s="73">
        <f t="shared" si="29"/>
        <v>1757.1029699998444</v>
      </c>
      <c r="Z39" s="73">
        <f t="shared" si="29"/>
        <v>-880.39181999977518</v>
      </c>
      <c r="AA39" s="265">
        <f t="shared" si="30"/>
        <v>2892.3723700000146</v>
      </c>
      <c r="AB39" s="265">
        <f t="shared" si="30"/>
        <v>2319.6158599997316</v>
      </c>
      <c r="AC39" s="265">
        <f t="shared" si="30"/>
        <v>2502.2648000002009</v>
      </c>
      <c r="AD39" s="265">
        <f t="shared" si="30"/>
        <v>2050.0433399998856</v>
      </c>
      <c r="AE39" s="265">
        <f t="shared" si="30"/>
        <v>1967</v>
      </c>
      <c r="AF39" s="265">
        <f t="shared" si="30"/>
        <v>148</v>
      </c>
      <c r="AG39" s="265">
        <f t="shared" si="30"/>
        <v>593</v>
      </c>
      <c r="AH39" s="265">
        <f t="shared" si="30"/>
        <v>441</v>
      </c>
      <c r="AI39" s="265">
        <f t="shared" si="30"/>
        <v>1154</v>
      </c>
      <c r="AJ39" s="265">
        <f t="shared" si="30"/>
        <v>-637</v>
      </c>
      <c r="AS39" s="1"/>
      <c r="AU39" s="69"/>
      <c r="AV39" s="1"/>
      <c r="BD39" s="69"/>
    </row>
    <row r="40" spans="1:60" ht="12.5" thickBot="1">
      <c r="A40" s="106" t="s">
        <v>68</v>
      </c>
      <c r="B40" s="113" t="s">
        <v>156</v>
      </c>
      <c r="C40" s="2">
        <v>155495</v>
      </c>
      <c r="D40" s="2">
        <v>163089</v>
      </c>
      <c r="E40" s="2">
        <v>150890</v>
      </c>
      <c r="F40" s="2">
        <v>142199</v>
      </c>
      <c r="G40" s="2">
        <v>156750</v>
      </c>
      <c r="H40" s="2">
        <v>147389</v>
      </c>
      <c r="I40" s="2">
        <v>151587</v>
      </c>
      <c r="J40" s="2">
        <v>140447</v>
      </c>
      <c r="K40" s="2">
        <v>134352</v>
      </c>
      <c r="L40" s="2">
        <v>139784</v>
      </c>
      <c r="M40" s="2">
        <f t="shared" ref="M40:R40" si="34">SUM(M30:M39)</f>
        <v>150192</v>
      </c>
      <c r="N40" s="2">
        <f t="shared" si="34"/>
        <v>156696</v>
      </c>
      <c r="O40" s="2">
        <f t="shared" si="34"/>
        <v>166117</v>
      </c>
      <c r="P40" s="2">
        <f t="shared" si="34"/>
        <v>162518</v>
      </c>
      <c r="Q40" s="2">
        <f t="shared" si="34"/>
        <v>165538</v>
      </c>
      <c r="R40" s="2">
        <f t="shared" si="34"/>
        <v>169380</v>
      </c>
      <c r="S40" s="2">
        <v>172504</v>
      </c>
      <c r="T40" s="2">
        <f t="shared" ref="T40:V40" si="35">SUM(T30:T39)</f>
        <v>164083</v>
      </c>
      <c r="U40" s="2">
        <f t="shared" si="35"/>
        <v>162913</v>
      </c>
      <c r="V40" s="2">
        <f t="shared" si="35"/>
        <v>161569</v>
      </c>
      <c r="W40" s="2">
        <f t="shared" ref="W40:Y40" si="36">SUM(W30:W39)</f>
        <v>163174.05014000004</v>
      </c>
      <c r="X40" s="2">
        <f t="shared" si="36"/>
        <v>175024.62269000031</v>
      </c>
      <c r="Y40" s="2">
        <f t="shared" si="36"/>
        <v>178307.21890999979</v>
      </c>
      <c r="Z40" s="2">
        <f>SUM(Z30:Z39)</f>
        <v>182646.3583500002</v>
      </c>
      <c r="AA40" s="261">
        <f t="shared" ref="AA40:AJ40" si="37">SUM(AA30:AA39)</f>
        <v>194533.28559000001</v>
      </c>
      <c r="AB40" s="261">
        <f t="shared" si="37"/>
        <v>178995.44846999971</v>
      </c>
      <c r="AC40" s="261">
        <f t="shared" si="37"/>
        <v>179797.13823000022</v>
      </c>
      <c r="AD40" s="261">
        <f t="shared" si="37"/>
        <v>192729.9874499999</v>
      </c>
      <c r="AE40" s="261">
        <f t="shared" si="37"/>
        <v>204777</v>
      </c>
      <c r="AF40" s="261">
        <f t="shared" si="37"/>
        <v>209310</v>
      </c>
      <c r="AG40" s="261">
        <f t="shared" si="37"/>
        <v>201565</v>
      </c>
      <c r="AH40" s="261">
        <f t="shared" si="37"/>
        <v>214960</v>
      </c>
      <c r="AI40" s="261">
        <f t="shared" si="37"/>
        <v>220816</v>
      </c>
      <c r="AJ40" s="261">
        <f t="shared" si="37"/>
        <v>206122</v>
      </c>
      <c r="AS40" s="1"/>
      <c r="AU40" s="69"/>
      <c r="AV40" s="1"/>
      <c r="BD40" s="69"/>
    </row>
    <row r="42" spans="1:60" ht="15.5">
      <c r="A42" s="109" t="s">
        <v>187</v>
      </c>
    </row>
    <row r="43" spans="1:60" ht="15.5">
      <c r="A43" s="109" t="s">
        <v>474</v>
      </c>
    </row>
    <row r="44" spans="1:60" s="190" customFormat="1" ht="24.5" thickBot="1">
      <c r="A44" s="171" t="s">
        <v>498</v>
      </c>
      <c r="B44" s="171" t="s">
        <v>170</v>
      </c>
      <c r="C44" s="188" t="s">
        <v>189</v>
      </c>
      <c r="D44" s="188" t="s">
        <v>192</v>
      </c>
      <c r="E44" s="188" t="s">
        <v>196</v>
      </c>
      <c r="F44" s="188" t="s">
        <v>216</v>
      </c>
      <c r="G44" s="188" t="s">
        <v>219</v>
      </c>
      <c r="H44" s="188" t="s">
        <v>238</v>
      </c>
      <c r="I44" s="188" t="s">
        <v>239</v>
      </c>
      <c r="J44" s="188" t="s">
        <v>242</v>
      </c>
      <c r="K44" s="188" t="s">
        <v>245</v>
      </c>
      <c r="L44" s="188" t="s">
        <v>252</v>
      </c>
      <c r="M44" s="188" t="s">
        <v>257</v>
      </c>
      <c r="N44" s="188" t="s">
        <v>259</v>
      </c>
      <c r="O44" s="188" t="s">
        <v>262</v>
      </c>
      <c r="P44" s="188" t="s">
        <v>267</v>
      </c>
      <c r="Q44" s="188" t="s">
        <v>275</v>
      </c>
      <c r="R44" s="188" t="s">
        <v>282</v>
      </c>
      <c r="S44" s="188" t="s">
        <v>285</v>
      </c>
      <c r="T44" s="188" t="s">
        <v>363</v>
      </c>
      <c r="U44" s="188" t="s">
        <v>405</v>
      </c>
      <c r="V44" s="188" t="s">
        <v>407</v>
      </c>
      <c r="W44" s="188" t="s">
        <v>411</v>
      </c>
      <c r="X44" s="188" t="s">
        <v>420</v>
      </c>
      <c r="Y44" s="188" t="s">
        <v>426</v>
      </c>
      <c r="Z44" s="188" t="s">
        <v>430</v>
      </c>
      <c r="AA44" s="254" t="s">
        <v>510</v>
      </c>
      <c r="AB44" s="254" t="s">
        <v>591</v>
      </c>
      <c r="AC44" s="254" t="s">
        <v>597</v>
      </c>
      <c r="AD44" s="254" t="s">
        <v>608</v>
      </c>
      <c r="AE44" s="254" t="s">
        <v>612</v>
      </c>
      <c r="AF44" s="254" t="s">
        <v>618</v>
      </c>
      <c r="AG44" s="254" t="s">
        <v>630</v>
      </c>
      <c r="AH44" s="254" t="s">
        <v>637</v>
      </c>
      <c r="AI44" s="254" t="s">
        <v>643</v>
      </c>
      <c r="AJ44" s="254" t="s">
        <v>650</v>
      </c>
      <c r="AS44" s="198"/>
      <c r="AT44" s="198"/>
      <c r="AV44" s="198"/>
      <c r="AW44" s="198"/>
      <c r="AX44" s="198"/>
      <c r="AY44" s="198"/>
      <c r="AZ44" s="198"/>
      <c r="BA44" s="198"/>
      <c r="BB44" s="198"/>
      <c r="BC44" s="198"/>
    </row>
    <row r="45" spans="1:60">
      <c r="A45" s="107" t="s">
        <v>59</v>
      </c>
      <c r="B45" s="111" t="s">
        <v>146</v>
      </c>
      <c r="C45" s="78">
        <v>23228</v>
      </c>
      <c r="D45" s="78">
        <v>46776</v>
      </c>
      <c r="E45" s="78">
        <v>70127</v>
      </c>
      <c r="F45" s="72">
        <v>92947</v>
      </c>
      <c r="G45" s="72">
        <v>21938</v>
      </c>
      <c r="H45" s="72">
        <v>43535</v>
      </c>
      <c r="I45" s="72">
        <v>66021</v>
      </c>
      <c r="J45" s="72">
        <v>86103</v>
      </c>
      <c r="K45" s="72">
        <v>19973</v>
      </c>
      <c r="L45" s="72">
        <v>40653</v>
      </c>
      <c r="M45" s="72">
        <v>60853</v>
      </c>
      <c r="N45" s="72">
        <v>81351</v>
      </c>
      <c r="O45" s="72">
        <v>19682</v>
      </c>
      <c r="P45" s="72">
        <v>39372</v>
      </c>
      <c r="Q45" s="72">
        <v>58052</v>
      </c>
      <c r="R45" s="72">
        <v>77713</v>
      </c>
      <c r="S45" s="72">
        <v>20547</v>
      </c>
      <c r="T45" s="72">
        <v>41404</v>
      </c>
      <c r="U45" s="72">
        <v>62167</v>
      </c>
      <c r="V45" s="72">
        <v>81036</v>
      </c>
      <c r="W45" s="72">
        <v>22737.745640000001</v>
      </c>
      <c r="X45" s="72">
        <v>45579.043579999998</v>
      </c>
      <c r="Y45" s="72">
        <v>69202.30949</v>
      </c>
      <c r="Z45" s="72">
        <v>92463.508959999992</v>
      </c>
      <c r="AA45" s="267">
        <v>24333.426350000002</v>
      </c>
      <c r="AB45" s="267">
        <v>47923.522369999999</v>
      </c>
      <c r="AC45" s="267">
        <v>75424.183310000008</v>
      </c>
      <c r="AD45" s="267">
        <v>102246.21102</v>
      </c>
      <c r="AE45" s="267">
        <v>39152</v>
      </c>
      <c r="AF45" s="267">
        <v>68579</v>
      </c>
      <c r="AG45" s="267">
        <v>99919</v>
      </c>
      <c r="AH45" s="267">
        <v>131476</v>
      </c>
      <c r="AI45" s="267">
        <v>40489</v>
      </c>
      <c r="AJ45" s="267">
        <v>73532</v>
      </c>
      <c r="BC45" s="70"/>
      <c r="BD45" s="27"/>
      <c r="BE45" s="27"/>
      <c r="BF45" s="28"/>
      <c r="BG45" s="82"/>
      <c r="BH45" s="28"/>
    </row>
    <row r="46" spans="1:60" ht="36">
      <c r="A46" s="107" t="s">
        <v>69</v>
      </c>
      <c r="B46" s="112" t="s">
        <v>147</v>
      </c>
      <c r="C46" s="79">
        <v>11334</v>
      </c>
      <c r="D46" s="79">
        <v>22969</v>
      </c>
      <c r="E46" s="79">
        <v>34772</v>
      </c>
      <c r="F46" s="73">
        <v>46836</v>
      </c>
      <c r="G46" s="73">
        <v>11661</v>
      </c>
      <c r="H46" s="73">
        <v>24050</v>
      </c>
      <c r="I46" s="73">
        <v>36523</v>
      </c>
      <c r="J46" s="73">
        <v>49650</v>
      </c>
      <c r="K46" s="73">
        <v>12558</v>
      </c>
      <c r="L46" s="73">
        <v>26077</v>
      </c>
      <c r="M46" s="73">
        <v>39684</v>
      </c>
      <c r="N46" s="73">
        <v>53855</v>
      </c>
      <c r="O46" s="73">
        <v>13952</v>
      </c>
      <c r="P46" s="73">
        <v>29241</v>
      </c>
      <c r="Q46" s="73">
        <v>45545</v>
      </c>
      <c r="R46" s="73">
        <v>63194</v>
      </c>
      <c r="S46" s="73">
        <v>18594</v>
      </c>
      <c r="T46" s="73">
        <v>36912</v>
      </c>
      <c r="U46" s="73">
        <v>55041</v>
      </c>
      <c r="V46" s="73">
        <v>73682</v>
      </c>
      <c r="W46" s="73">
        <v>17343.137999999999</v>
      </c>
      <c r="X46" s="73">
        <v>35932.269999999997</v>
      </c>
      <c r="Y46" s="73">
        <v>54825.788</v>
      </c>
      <c r="Z46" s="73">
        <v>72606.160999999993</v>
      </c>
      <c r="AA46" s="265">
        <v>16471.522000000001</v>
      </c>
      <c r="AB46" s="265">
        <v>32310.467000000001</v>
      </c>
      <c r="AC46" s="265">
        <v>49958.1</v>
      </c>
      <c r="AD46" s="265">
        <v>67737.979000000007</v>
      </c>
      <c r="AE46" s="265">
        <v>18480</v>
      </c>
      <c r="AF46" s="265">
        <v>37724</v>
      </c>
      <c r="AG46" s="265">
        <v>57835</v>
      </c>
      <c r="AH46" s="265">
        <v>78916</v>
      </c>
      <c r="AI46" s="265">
        <v>21326</v>
      </c>
      <c r="AJ46" s="265">
        <v>44376</v>
      </c>
      <c r="BC46" s="70"/>
      <c r="BD46" s="27"/>
      <c r="BE46" s="27"/>
      <c r="BF46" s="28"/>
      <c r="BG46" s="82"/>
      <c r="BH46" s="28"/>
    </row>
    <row r="47" spans="1:60">
      <c r="A47" s="107" t="s">
        <v>60</v>
      </c>
      <c r="B47" s="112" t="s">
        <v>148</v>
      </c>
      <c r="C47" s="79">
        <v>22959</v>
      </c>
      <c r="D47" s="79">
        <v>43752</v>
      </c>
      <c r="E47" s="79">
        <v>63558</v>
      </c>
      <c r="F47" s="73">
        <v>86409</v>
      </c>
      <c r="G47" s="73">
        <v>28398</v>
      </c>
      <c r="H47" s="73">
        <v>57770</v>
      </c>
      <c r="I47" s="73">
        <v>87939</v>
      </c>
      <c r="J47" s="73">
        <v>118365</v>
      </c>
      <c r="K47" s="73">
        <v>35420</v>
      </c>
      <c r="L47" s="73">
        <v>71138</v>
      </c>
      <c r="M47" s="73">
        <v>104681</v>
      </c>
      <c r="N47" s="73">
        <v>140449</v>
      </c>
      <c r="O47" s="73">
        <v>38715</v>
      </c>
      <c r="P47" s="73">
        <v>74936</v>
      </c>
      <c r="Q47" s="73">
        <v>112883</v>
      </c>
      <c r="R47" s="73">
        <v>153215</v>
      </c>
      <c r="S47" s="73">
        <v>41547</v>
      </c>
      <c r="T47" s="73">
        <v>81591</v>
      </c>
      <c r="U47" s="73">
        <v>121455</v>
      </c>
      <c r="V47" s="73">
        <v>166548</v>
      </c>
      <c r="W47" s="73">
        <v>40999.763980000003</v>
      </c>
      <c r="X47" s="73">
        <v>83773.985939999984</v>
      </c>
      <c r="Y47" s="73">
        <v>135393.16217999998</v>
      </c>
      <c r="Z47" s="73">
        <v>191931.84224999996</v>
      </c>
      <c r="AA47" s="265">
        <v>50317.006620000007</v>
      </c>
      <c r="AB47" s="265">
        <v>94675</v>
      </c>
      <c r="AC47" s="265">
        <v>140897</v>
      </c>
      <c r="AD47" s="265">
        <v>191340</v>
      </c>
      <c r="AE47" s="265">
        <v>50876</v>
      </c>
      <c r="AF47" s="265">
        <v>104627</v>
      </c>
      <c r="AG47" s="265">
        <v>156408</v>
      </c>
      <c r="AH47" s="265">
        <v>212472</v>
      </c>
      <c r="AI47" s="265">
        <v>59976</v>
      </c>
      <c r="AJ47" s="265">
        <v>116992</v>
      </c>
      <c r="BC47" s="70"/>
      <c r="BD47" s="27"/>
      <c r="BE47" s="27"/>
      <c r="BF47" s="28"/>
      <c r="BG47" s="82"/>
      <c r="BH47" s="28"/>
    </row>
    <row r="48" spans="1:60">
      <c r="A48" s="107" t="s">
        <v>61</v>
      </c>
      <c r="B48" s="112" t="s">
        <v>149</v>
      </c>
      <c r="C48" s="79">
        <v>3602</v>
      </c>
      <c r="D48" s="79">
        <v>6722</v>
      </c>
      <c r="E48" s="79">
        <v>9713</v>
      </c>
      <c r="F48" s="73">
        <v>12779</v>
      </c>
      <c r="G48" s="73">
        <v>3576</v>
      </c>
      <c r="H48" s="73">
        <v>6595</v>
      </c>
      <c r="I48" s="73">
        <v>9497</v>
      </c>
      <c r="J48" s="73">
        <v>12517</v>
      </c>
      <c r="K48" s="73">
        <v>3748</v>
      </c>
      <c r="L48" s="73">
        <v>6669</v>
      </c>
      <c r="M48" s="73">
        <v>9286</v>
      </c>
      <c r="N48" s="73">
        <v>12261</v>
      </c>
      <c r="O48" s="73">
        <v>3640</v>
      </c>
      <c r="P48" s="73">
        <v>6539</v>
      </c>
      <c r="Q48" s="73">
        <v>9410</v>
      </c>
      <c r="R48" s="73">
        <v>12158</v>
      </c>
      <c r="S48" s="73">
        <v>3810</v>
      </c>
      <c r="T48" s="73">
        <v>7165</v>
      </c>
      <c r="U48" s="73">
        <v>10775</v>
      </c>
      <c r="V48" s="73">
        <v>15172</v>
      </c>
      <c r="W48" s="73">
        <v>3569.0448099999999</v>
      </c>
      <c r="X48" s="73">
        <v>6737.7462599999999</v>
      </c>
      <c r="Y48" s="73">
        <v>10261.76326</v>
      </c>
      <c r="Z48" s="73">
        <v>13790.09793</v>
      </c>
      <c r="AA48" s="265">
        <v>3759.0601299999998</v>
      </c>
      <c r="AB48" s="265">
        <v>6950.55825</v>
      </c>
      <c r="AC48" s="265">
        <v>10333.08546</v>
      </c>
      <c r="AD48" s="265">
        <v>13798.77382</v>
      </c>
      <c r="AE48" s="265">
        <v>3229</v>
      </c>
      <c r="AF48" s="265">
        <v>6659</v>
      </c>
      <c r="AG48" s="265">
        <v>9928</v>
      </c>
      <c r="AH48" s="265">
        <v>13425</v>
      </c>
      <c r="AI48" s="265">
        <v>3876</v>
      </c>
      <c r="AJ48" s="265">
        <v>7062</v>
      </c>
      <c r="BC48" s="70"/>
      <c r="BD48" s="27"/>
      <c r="BE48" s="27"/>
      <c r="BF48" s="28"/>
      <c r="BG48" s="82"/>
      <c r="BH48" s="28"/>
    </row>
    <row r="49" spans="1:60">
      <c r="A49" s="107" t="s">
        <v>62</v>
      </c>
      <c r="B49" s="112" t="s">
        <v>150</v>
      </c>
      <c r="C49" s="79">
        <v>50299</v>
      </c>
      <c r="D49" s="79">
        <v>103991</v>
      </c>
      <c r="E49" s="79">
        <v>143526</v>
      </c>
      <c r="F49" s="73">
        <v>183017</v>
      </c>
      <c r="G49" s="73">
        <v>32451</v>
      </c>
      <c r="H49" s="73">
        <v>65871</v>
      </c>
      <c r="I49" s="73">
        <v>100395</v>
      </c>
      <c r="J49" s="73">
        <v>135059</v>
      </c>
      <c r="K49" s="73">
        <v>34377</v>
      </c>
      <c r="L49" s="73">
        <v>70867</v>
      </c>
      <c r="M49" s="73">
        <v>109628</v>
      </c>
      <c r="N49" s="73">
        <v>147816</v>
      </c>
      <c r="O49" s="73">
        <v>38042</v>
      </c>
      <c r="P49" s="73">
        <v>78659</v>
      </c>
      <c r="Q49" s="73">
        <v>120657</v>
      </c>
      <c r="R49" s="73">
        <v>162080</v>
      </c>
      <c r="S49" s="73">
        <v>40386</v>
      </c>
      <c r="T49" s="73">
        <v>83895</v>
      </c>
      <c r="U49" s="73">
        <v>129976</v>
      </c>
      <c r="V49" s="73">
        <v>177744</v>
      </c>
      <c r="W49" s="73">
        <v>44275.826000000001</v>
      </c>
      <c r="X49" s="73">
        <v>94060.964229999998</v>
      </c>
      <c r="Y49" s="73">
        <v>151007.08687999999</v>
      </c>
      <c r="Z49" s="73">
        <v>205822.62187999999</v>
      </c>
      <c r="AA49" s="265">
        <v>53979.125999999997</v>
      </c>
      <c r="AB49" s="265">
        <v>104258.59699999999</v>
      </c>
      <c r="AC49" s="265">
        <v>161292.16099999999</v>
      </c>
      <c r="AD49" s="265">
        <v>221085.74100000001</v>
      </c>
      <c r="AE49" s="265">
        <v>51735</v>
      </c>
      <c r="AF49" s="265">
        <v>108826</v>
      </c>
      <c r="AG49" s="265">
        <v>172712</v>
      </c>
      <c r="AH49" s="265">
        <v>235579</v>
      </c>
      <c r="AI49" s="265">
        <v>60960</v>
      </c>
      <c r="AJ49" s="265">
        <v>128479</v>
      </c>
      <c r="BC49" s="70"/>
      <c r="BD49" s="27"/>
      <c r="BE49" s="27"/>
      <c r="BF49" s="28"/>
      <c r="BG49" s="82"/>
      <c r="BH49" s="28"/>
    </row>
    <row r="50" spans="1:60">
      <c r="A50" s="107" t="s">
        <v>63</v>
      </c>
      <c r="B50" s="112" t="s">
        <v>151</v>
      </c>
      <c r="C50" s="79">
        <v>12465</v>
      </c>
      <c r="D50" s="79">
        <v>36070</v>
      </c>
      <c r="E50" s="79">
        <v>60808</v>
      </c>
      <c r="F50" s="73">
        <v>76166</v>
      </c>
      <c r="G50" s="73">
        <v>27072</v>
      </c>
      <c r="H50" s="73">
        <v>41028</v>
      </c>
      <c r="I50" s="73">
        <v>62364</v>
      </c>
      <c r="J50" s="73">
        <v>83397</v>
      </c>
      <c r="K50" s="73">
        <v>11666</v>
      </c>
      <c r="L50" s="73">
        <v>25700</v>
      </c>
      <c r="M50" s="73">
        <v>45431</v>
      </c>
      <c r="N50" s="73">
        <v>67452</v>
      </c>
      <c r="O50" s="73">
        <v>24736</v>
      </c>
      <c r="P50" s="73">
        <v>48903</v>
      </c>
      <c r="Q50" s="73">
        <v>73523</v>
      </c>
      <c r="R50" s="73">
        <v>98598</v>
      </c>
      <c r="S50" s="73">
        <v>29978</v>
      </c>
      <c r="T50" s="73">
        <v>53956</v>
      </c>
      <c r="U50" s="73">
        <v>78599</v>
      </c>
      <c r="V50" s="73">
        <v>102733</v>
      </c>
      <c r="W50" s="73">
        <v>29715.326420000001</v>
      </c>
      <c r="X50" s="73">
        <v>69811.474010000005</v>
      </c>
      <c r="Y50" s="73">
        <v>109548.26867999999</v>
      </c>
      <c r="Z50" s="73">
        <v>148394.47672999999</v>
      </c>
      <c r="AA50" s="265">
        <v>55542.415390000002</v>
      </c>
      <c r="AB50" s="265">
        <v>100852</v>
      </c>
      <c r="AC50" s="265">
        <v>136418</v>
      </c>
      <c r="AD50" s="265">
        <v>169721</v>
      </c>
      <c r="AE50" s="265">
        <v>38710</v>
      </c>
      <c r="AF50" s="265">
        <v>82888</v>
      </c>
      <c r="AG50" s="265">
        <v>118555</v>
      </c>
      <c r="AH50" s="265">
        <v>156824</v>
      </c>
      <c r="AI50" s="265">
        <v>41136</v>
      </c>
      <c r="AJ50" s="265">
        <v>83574</v>
      </c>
      <c r="BC50" s="70"/>
      <c r="BD50" s="27"/>
      <c r="BE50" s="27"/>
      <c r="BF50" s="28"/>
      <c r="BG50" s="82"/>
      <c r="BH50" s="28"/>
    </row>
    <row r="51" spans="1:60" ht="24">
      <c r="A51" s="107" t="s">
        <v>64</v>
      </c>
      <c r="B51" s="112" t="s">
        <v>152</v>
      </c>
      <c r="C51" s="79">
        <v>21569</v>
      </c>
      <c r="D51" s="79">
        <v>41838</v>
      </c>
      <c r="E51" s="79">
        <v>63399</v>
      </c>
      <c r="F51" s="73">
        <v>83788</v>
      </c>
      <c r="G51" s="73">
        <v>22217</v>
      </c>
      <c r="H51" s="73">
        <v>50609</v>
      </c>
      <c r="I51" s="73">
        <v>72836</v>
      </c>
      <c r="J51" s="73">
        <v>87383</v>
      </c>
      <c r="K51" s="73">
        <v>14266</v>
      </c>
      <c r="L51" s="73">
        <v>31298</v>
      </c>
      <c r="M51" s="73">
        <v>52287</v>
      </c>
      <c r="N51" s="73">
        <v>73615</v>
      </c>
      <c r="O51" s="73">
        <v>23562</v>
      </c>
      <c r="P51" s="73">
        <v>45776</v>
      </c>
      <c r="Q51" s="73">
        <v>67378</v>
      </c>
      <c r="R51" s="73">
        <v>89212</v>
      </c>
      <c r="S51" s="73">
        <v>17636</v>
      </c>
      <c r="T51" s="73">
        <v>36762</v>
      </c>
      <c r="U51" s="73">
        <v>55387</v>
      </c>
      <c r="V51" s="73">
        <v>68615</v>
      </c>
      <c r="W51" s="73">
        <v>14893.317499999999</v>
      </c>
      <c r="X51" s="73">
        <v>30837.091100000001</v>
      </c>
      <c r="Y51" s="73">
        <v>46199.662599999996</v>
      </c>
      <c r="Z51" s="73">
        <v>60676.63</v>
      </c>
      <c r="AA51" s="265">
        <v>14431.624099999999</v>
      </c>
      <c r="AB51" s="265">
        <v>28986.678800000002</v>
      </c>
      <c r="AC51" s="265">
        <v>47602.3387</v>
      </c>
      <c r="AD51" s="265">
        <v>65959.075200000007</v>
      </c>
      <c r="AE51" s="265">
        <v>17153</v>
      </c>
      <c r="AF51" s="265">
        <v>34817</v>
      </c>
      <c r="AG51" s="265">
        <v>49879</v>
      </c>
      <c r="AH51" s="265">
        <v>63876</v>
      </c>
      <c r="AI51" s="265">
        <v>11351</v>
      </c>
      <c r="AJ51" s="265">
        <v>20758</v>
      </c>
      <c r="BC51" s="70"/>
      <c r="BD51" s="27"/>
      <c r="BE51" s="27"/>
      <c r="BF51" s="28"/>
      <c r="BG51" s="82"/>
      <c r="BH51" s="28"/>
    </row>
    <row r="52" spans="1:60">
      <c r="A52" s="107" t="s">
        <v>65</v>
      </c>
      <c r="B52" s="112" t="s">
        <v>153</v>
      </c>
      <c r="C52" s="79">
        <v>5717</v>
      </c>
      <c r="D52" s="79">
        <v>10199</v>
      </c>
      <c r="E52" s="79">
        <v>14753</v>
      </c>
      <c r="F52" s="73">
        <v>19614</v>
      </c>
      <c r="G52" s="73">
        <v>6544</v>
      </c>
      <c r="H52" s="73">
        <v>10864</v>
      </c>
      <c r="I52" s="73">
        <v>15462</v>
      </c>
      <c r="J52" s="73">
        <v>20465</v>
      </c>
      <c r="K52" s="73">
        <v>4387</v>
      </c>
      <c r="L52" s="73">
        <v>9390</v>
      </c>
      <c r="M52" s="73">
        <v>14469</v>
      </c>
      <c r="N52" s="73">
        <v>20314</v>
      </c>
      <c r="O52" s="73">
        <v>5847</v>
      </c>
      <c r="P52" s="73">
        <v>10892</v>
      </c>
      <c r="Q52" s="73">
        <v>15745</v>
      </c>
      <c r="R52" s="73">
        <v>21750</v>
      </c>
      <c r="S52" s="73">
        <v>4884</v>
      </c>
      <c r="T52" s="73">
        <v>9671</v>
      </c>
      <c r="U52" s="73">
        <v>13906</v>
      </c>
      <c r="V52" s="73">
        <v>17760</v>
      </c>
      <c r="W52" s="73">
        <v>3576.8579</v>
      </c>
      <c r="X52" s="73">
        <v>6754.6534000000001</v>
      </c>
      <c r="Y52" s="73">
        <v>9984.3740999999991</v>
      </c>
      <c r="Z52" s="73">
        <v>13362.008400000001</v>
      </c>
      <c r="AA52" s="265">
        <v>4430.9113000000007</v>
      </c>
      <c r="AB52" s="265">
        <v>9462.4268000000011</v>
      </c>
      <c r="AC52" s="265">
        <v>14219.514499999999</v>
      </c>
      <c r="AD52" s="265">
        <v>19159.4434</v>
      </c>
      <c r="AE52" s="265">
        <v>5070</v>
      </c>
      <c r="AF52" s="265">
        <v>9257</v>
      </c>
      <c r="AG52" s="265">
        <v>12939</v>
      </c>
      <c r="AH52" s="265">
        <v>17259</v>
      </c>
      <c r="AI52" s="265">
        <v>5002</v>
      </c>
      <c r="AJ52" s="265">
        <v>7699</v>
      </c>
      <c r="BC52" s="70"/>
      <c r="BD52" s="27"/>
      <c r="BE52" s="27"/>
      <c r="BF52" s="28"/>
      <c r="BG52" s="82"/>
      <c r="BH52" s="28"/>
    </row>
    <row r="53" spans="1:60" ht="24">
      <c r="A53" s="107" t="s">
        <v>66</v>
      </c>
      <c r="B53" s="112" t="s">
        <v>154</v>
      </c>
      <c r="C53" s="79">
        <v>20823</v>
      </c>
      <c r="D53" s="79">
        <v>41434</v>
      </c>
      <c r="E53" s="79">
        <v>62050</v>
      </c>
      <c r="F53" s="73">
        <v>82433</v>
      </c>
      <c r="G53" s="73">
        <v>20487</v>
      </c>
      <c r="H53" s="73">
        <v>43365</v>
      </c>
      <c r="I53" s="73">
        <v>65610</v>
      </c>
      <c r="J53" s="73">
        <v>86955</v>
      </c>
      <c r="K53" s="73">
        <v>19587</v>
      </c>
      <c r="L53" s="73">
        <v>39364</v>
      </c>
      <c r="M53" s="73">
        <v>59298</v>
      </c>
      <c r="N53" s="73">
        <v>79727</v>
      </c>
      <c r="O53" s="73">
        <v>21030</v>
      </c>
      <c r="P53" s="73">
        <v>43907</v>
      </c>
      <c r="Q53" s="73">
        <v>68088</v>
      </c>
      <c r="R53" s="73">
        <v>92576</v>
      </c>
      <c r="S53" s="73">
        <v>24013</v>
      </c>
      <c r="T53" s="73">
        <v>47617</v>
      </c>
      <c r="U53" s="73">
        <v>69135</v>
      </c>
      <c r="V53" s="73">
        <v>88116</v>
      </c>
      <c r="W53" s="73">
        <v>18341.309799999999</v>
      </c>
      <c r="X53" s="73">
        <v>37452.150099999999</v>
      </c>
      <c r="Y53" s="73">
        <v>56640.9303</v>
      </c>
      <c r="Z53" s="73">
        <v>75666.135899999994</v>
      </c>
      <c r="AA53" s="265">
        <v>17565.199000000001</v>
      </c>
      <c r="AB53" s="265">
        <v>32177.4614</v>
      </c>
      <c r="AC53" s="265">
        <v>48875.814400000003</v>
      </c>
      <c r="AD53" s="265">
        <v>66941.238200000007</v>
      </c>
      <c r="AE53" s="265">
        <v>15189</v>
      </c>
      <c r="AF53" s="265">
        <v>32608</v>
      </c>
      <c r="AG53" s="265">
        <v>52134</v>
      </c>
      <c r="AH53" s="265">
        <v>72690</v>
      </c>
      <c r="AI53" s="265">
        <v>16433</v>
      </c>
      <c r="AJ53" s="265">
        <v>30180</v>
      </c>
      <c r="BC53" s="70"/>
      <c r="BD53" s="27"/>
      <c r="BE53" s="27"/>
      <c r="BF53" s="28"/>
      <c r="BG53" s="82"/>
      <c r="BH53" s="28"/>
    </row>
    <row r="54" spans="1:60" ht="12.5" thickBot="1">
      <c r="A54" s="107" t="s">
        <v>67</v>
      </c>
      <c r="B54" s="112" t="s">
        <v>155</v>
      </c>
      <c r="C54" s="80">
        <v>2843</v>
      </c>
      <c r="D54" s="80">
        <v>5675</v>
      </c>
      <c r="E54" s="80">
        <v>8529</v>
      </c>
      <c r="F54" s="73">
        <v>11332</v>
      </c>
      <c r="G54" s="73">
        <v>3470</v>
      </c>
      <c r="H54" s="73">
        <v>7296</v>
      </c>
      <c r="I54" s="73">
        <v>10721</v>
      </c>
      <c r="J54" s="73">
        <v>16386</v>
      </c>
      <c r="K54" s="73">
        <v>5400</v>
      </c>
      <c r="L54" s="73">
        <v>9167</v>
      </c>
      <c r="M54" s="73">
        <v>13945</v>
      </c>
      <c r="N54" s="73">
        <v>21167</v>
      </c>
      <c r="O54" s="73">
        <v>6892</v>
      </c>
      <c r="P54" s="73">
        <v>14037</v>
      </c>
      <c r="Q54" s="73">
        <v>22045</v>
      </c>
      <c r="R54" s="73">
        <v>28792</v>
      </c>
      <c r="S54" s="73">
        <v>7807</v>
      </c>
      <c r="T54" s="73">
        <v>15588</v>
      </c>
      <c r="U54" s="73">
        <v>23467</v>
      </c>
      <c r="V54" s="73">
        <v>32839</v>
      </c>
      <c r="W54" s="73">
        <v>6078.0259500000384</v>
      </c>
      <c r="X54" s="73">
        <v>11886.784700000326</v>
      </c>
      <c r="Y54" s="73">
        <v>18034.673410000196</v>
      </c>
      <c r="Z54" s="73">
        <v>25173.521630000545</v>
      </c>
      <c r="AA54" s="265">
        <v>6838.6210300000257</v>
      </c>
      <c r="AB54" s="265">
        <v>14107.15481999972</v>
      </c>
      <c r="AC54" s="265">
        <v>21846.611449999949</v>
      </c>
      <c r="AD54" s="265">
        <v>29424.437979999817</v>
      </c>
      <c r="AE54" s="265">
        <v>6400</v>
      </c>
      <c r="AF54" s="265">
        <v>13864</v>
      </c>
      <c r="AG54" s="265">
        <v>21437</v>
      </c>
      <c r="AH54" s="265">
        <v>29733</v>
      </c>
      <c r="AI54" s="265">
        <v>7358</v>
      </c>
      <c r="AJ54" s="265">
        <v>15753</v>
      </c>
      <c r="BC54" s="70"/>
      <c r="BD54" s="27"/>
      <c r="BE54" s="27"/>
      <c r="BF54" s="28"/>
      <c r="BG54" s="82"/>
      <c r="BH54" s="28"/>
    </row>
    <row r="55" spans="1:60" ht="12.5" thickBot="1">
      <c r="A55" s="108" t="s">
        <v>68</v>
      </c>
      <c r="B55" s="113" t="s">
        <v>156</v>
      </c>
      <c r="C55" s="2">
        <f t="shared" ref="C55:K55" si="38">SUM(C45:C54)</f>
        <v>174839</v>
      </c>
      <c r="D55" s="2">
        <f t="shared" si="38"/>
        <v>359426</v>
      </c>
      <c r="E55" s="2">
        <f t="shared" si="38"/>
        <v>531235</v>
      </c>
      <c r="F55" s="2">
        <f t="shared" si="38"/>
        <v>695321</v>
      </c>
      <c r="G55" s="2">
        <f t="shared" si="38"/>
        <v>177814</v>
      </c>
      <c r="H55" s="2">
        <f t="shared" si="38"/>
        <v>350983</v>
      </c>
      <c r="I55" s="2">
        <f t="shared" si="38"/>
        <v>527368</v>
      </c>
      <c r="J55" s="2">
        <f t="shared" si="38"/>
        <v>696280</v>
      </c>
      <c r="K55" s="2">
        <f t="shared" si="38"/>
        <v>161382</v>
      </c>
      <c r="L55" s="2">
        <f t="shared" ref="L55:Q55" si="39">SUM(L45:L54)</f>
        <v>330323</v>
      </c>
      <c r="M55" s="2">
        <f t="shared" si="39"/>
        <v>509562</v>
      </c>
      <c r="N55" s="2">
        <f t="shared" si="39"/>
        <v>698007</v>
      </c>
      <c r="O55" s="2">
        <f t="shared" si="39"/>
        <v>196098</v>
      </c>
      <c r="P55" s="2">
        <f t="shared" si="39"/>
        <v>392262</v>
      </c>
      <c r="Q55" s="2">
        <f t="shared" si="39"/>
        <v>593326</v>
      </c>
      <c r="R55" s="2">
        <f t="shared" ref="R55:V55" si="40">SUM(R45:R54)</f>
        <v>799288</v>
      </c>
      <c r="S55" s="2">
        <f t="shared" si="40"/>
        <v>209202</v>
      </c>
      <c r="T55" s="2">
        <f t="shared" si="40"/>
        <v>414561</v>
      </c>
      <c r="U55" s="2">
        <f t="shared" si="40"/>
        <v>619908</v>
      </c>
      <c r="V55" s="2">
        <f t="shared" si="40"/>
        <v>824245</v>
      </c>
      <c r="W55" s="2">
        <f t="shared" ref="W55:AJ55" si="41">SUM(W45:W54)</f>
        <v>201530.35600000006</v>
      </c>
      <c r="X55" s="2">
        <f t="shared" si="41"/>
        <v>422826.16332000028</v>
      </c>
      <c r="Y55" s="2">
        <f t="shared" si="41"/>
        <v>661098.01890000014</v>
      </c>
      <c r="Z55" s="2">
        <f t="shared" si="41"/>
        <v>899887.00468000059</v>
      </c>
      <c r="AA55" s="261">
        <f t="shared" si="41"/>
        <v>247668.91192000004</v>
      </c>
      <c r="AB55" s="261">
        <f t="shared" si="41"/>
        <v>471703.86643999966</v>
      </c>
      <c r="AC55" s="261">
        <f t="shared" si="41"/>
        <v>706866.80881999992</v>
      </c>
      <c r="AD55" s="261">
        <f t="shared" si="41"/>
        <v>947413.89961999981</v>
      </c>
      <c r="AE55" s="261">
        <f t="shared" si="41"/>
        <v>245994</v>
      </c>
      <c r="AF55" s="261">
        <f t="shared" si="41"/>
        <v>499849</v>
      </c>
      <c r="AG55" s="261">
        <f t="shared" si="41"/>
        <v>751746</v>
      </c>
      <c r="AH55" s="261">
        <f t="shared" si="41"/>
        <v>1012250</v>
      </c>
      <c r="AI55" s="261">
        <f t="shared" si="41"/>
        <v>267907</v>
      </c>
      <c r="AJ55" s="261">
        <f t="shared" si="41"/>
        <v>528405</v>
      </c>
      <c r="BC55" s="70"/>
      <c r="BD55" s="27"/>
      <c r="BE55" s="27"/>
      <c r="BF55" s="28"/>
      <c r="BG55" s="82"/>
      <c r="BH55" s="28"/>
    </row>
    <row r="56" spans="1:60">
      <c r="A56" s="114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</row>
    <row r="57" spans="1:60" s="190" customFormat="1" ht="24.5" thickBot="1">
      <c r="A57" s="171" t="s">
        <v>501</v>
      </c>
      <c r="B57" s="171" t="s">
        <v>171</v>
      </c>
      <c r="C57" s="188" t="s">
        <v>189</v>
      </c>
      <c r="D57" s="188" t="s">
        <v>192</v>
      </c>
      <c r="E57" s="188" t="s">
        <v>196</v>
      </c>
      <c r="F57" s="188" t="s">
        <v>216</v>
      </c>
      <c r="G57" s="188" t="s">
        <v>219</v>
      </c>
      <c r="H57" s="188" t="s">
        <v>238</v>
      </c>
      <c r="I57" s="188" t="s">
        <v>239</v>
      </c>
      <c r="J57" s="188" t="s">
        <v>242</v>
      </c>
      <c r="K57" s="188" t="s">
        <v>245</v>
      </c>
      <c r="L57" s="188" t="s">
        <v>252</v>
      </c>
      <c r="M57" s="188" t="s">
        <v>257</v>
      </c>
      <c r="N57" s="188" t="s">
        <v>259</v>
      </c>
      <c r="O57" s="188" t="s">
        <v>262</v>
      </c>
      <c r="P57" s="188" t="s">
        <v>267</v>
      </c>
      <c r="Q57" s="188" t="s">
        <v>275</v>
      </c>
      <c r="R57" s="188" t="s">
        <v>282</v>
      </c>
      <c r="S57" s="188" t="s">
        <v>285</v>
      </c>
      <c r="T57" s="188" t="s">
        <v>363</v>
      </c>
      <c r="U57" s="188" t="s">
        <v>405</v>
      </c>
      <c r="V57" s="188" t="s">
        <v>407</v>
      </c>
      <c r="W57" s="188" t="s">
        <v>411</v>
      </c>
      <c r="X57" s="188" t="s">
        <v>420</v>
      </c>
      <c r="Y57" s="188" t="s">
        <v>426</v>
      </c>
      <c r="Z57" s="188" t="s">
        <v>430</v>
      </c>
      <c r="AA57" s="254" t="s">
        <v>510</v>
      </c>
      <c r="AB57" s="254" t="s">
        <v>591</v>
      </c>
      <c r="AC57" s="254" t="s">
        <v>597</v>
      </c>
      <c r="AD57" s="254" t="s">
        <v>608</v>
      </c>
      <c r="AE57" s="254" t="s">
        <v>612</v>
      </c>
      <c r="AF57" s="254" t="s">
        <v>618</v>
      </c>
      <c r="AG57" s="254" t="s">
        <v>630</v>
      </c>
      <c r="AH57" s="254" t="s">
        <v>637</v>
      </c>
      <c r="AI57" s="254" t="s">
        <v>643</v>
      </c>
      <c r="AJ57" s="254" t="s">
        <v>650</v>
      </c>
      <c r="AS57" s="198"/>
      <c r="AT57" s="198"/>
      <c r="AV57" s="198"/>
      <c r="AW57" s="198"/>
      <c r="AX57" s="198"/>
      <c r="AY57" s="198"/>
      <c r="AZ57" s="198"/>
      <c r="BA57" s="198"/>
      <c r="BB57" s="198"/>
      <c r="BC57" s="198"/>
    </row>
    <row r="58" spans="1:60">
      <c r="A58" s="107" t="s">
        <v>59</v>
      </c>
      <c r="B58" s="111" t="s">
        <v>146</v>
      </c>
      <c r="C58" s="72">
        <v>-296</v>
      </c>
      <c r="D58" s="72">
        <v>-651</v>
      </c>
      <c r="E58" s="72">
        <v>-1005</v>
      </c>
      <c r="F58" s="72">
        <v>-1457</v>
      </c>
      <c r="G58" s="72">
        <v>-253</v>
      </c>
      <c r="H58" s="72">
        <v>-594</v>
      </c>
      <c r="I58" s="72">
        <v>-922</v>
      </c>
      <c r="J58" s="72">
        <v>-1322</v>
      </c>
      <c r="K58" s="72">
        <v>-269</v>
      </c>
      <c r="L58" s="72">
        <v>-634</v>
      </c>
      <c r="M58" s="72">
        <v>-1001</v>
      </c>
      <c r="N58" s="72">
        <v>-1500</v>
      </c>
      <c r="O58" s="72">
        <v>-328</v>
      </c>
      <c r="P58" s="72">
        <v>-733</v>
      </c>
      <c r="Q58" s="72">
        <v>-1170</v>
      </c>
      <c r="R58" s="72">
        <v>-1663</v>
      </c>
      <c r="S58" s="72">
        <v>-389</v>
      </c>
      <c r="T58" s="72">
        <v>-870</v>
      </c>
      <c r="U58" s="72">
        <v>-1325</v>
      </c>
      <c r="V58" s="72">
        <v>-1922</v>
      </c>
      <c r="W58" s="72">
        <v>-4022.0153999999998</v>
      </c>
      <c r="X58" s="72">
        <v>-8237.7296000000006</v>
      </c>
      <c r="Y58" s="72">
        <v>-12661.098</v>
      </c>
      <c r="Z58" s="72">
        <v>-17946.293000000001</v>
      </c>
      <c r="AA58" s="267">
        <v>-5363.3477999999996</v>
      </c>
      <c r="AB58" s="267">
        <v>-10074.7659</v>
      </c>
      <c r="AC58" s="267">
        <v>-15384.880789999999</v>
      </c>
      <c r="AD58" s="267">
        <v>-20021.979190000002</v>
      </c>
      <c r="AE58" s="267">
        <v>1628</v>
      </c>
      <c r="AF58" s="267">
        <v>-970</v>
      </c>
      <c r="AG58" s="267">
        <v>-2686</v>
      </c>
      <c r="AH58" s="267">
        <v>-6029</v>
      </c>
      <c r="AI58" s="267">
        <v>-2759</v>
      </c>
      <c r="AJ58" s="267">
        <v>-7957</v>
      </c>
      <c r="BC58" s="70"/>
      <c r="BE58" s="28"/>
    </row>
    <row r="59" spans="1:60" ht="36">
      <c r="A59" s="107" t="s">
        <v>69</v>
      </c>
      <c r="B59" s="112" t="s">
        <v>147</v>
      </c>
      <c r="C59" s="73">
        <v>-458</v>
      </c>
      <c r="D59" s="73">
        <v>-742</v>
      </c>
      <c r="E59" s="73">
        <v>-1145</v>
      </c>
      <c r="F59" s="73">
        <v>-1505</v>
      </c>
      <c r="G59" s="73">
        <v>-431</v>
      </c>
      <c r="H59" s="73">
        <v>-917</v>
      </c>
      <c r="I59" s="73">
        <v>-1442</v>
      </c>
      <c r="J59" s="73">
        <v>-1951</v>
      </c>
      <c r="K59" s="73">
        <v>-495</v>
      </c>
      <c r="L59" s="73">
        <v>-1052</v>
      </c>
      <c r="M59" s="73">
        <v>-1614</v>
      </c>
      <c r="N59" s="73">
        <v>-2324</v>
      </c>
      <c r="O59" s="73">
        <v>-680</v>
      </c>
      <c r="P59" s="73">
        <v>-1597</v>
      </c>
      <c r="Q59" s="73">
        <v>-2645</v>
      </c>
      <c r="R59" s="73">
        <v>-4039</v>
      </c>
      <c r="S59" s="73">
        <v>-1189</v>
      </c>
      <c r="T59" s="73">
        <v>-2707</v>
      </c>
      <c r="U59" s="73">
        <v>-4083</v>
      </c>
      <c r="V59" s="73">
        <v>-5407</v>
      </c>
      <c r="W59" s="73">
        <v>-929.69500000000005</v>
      </c>
      <c r="X59" s="73">
        <v>-1757.058</v>
      </c>
      <c r="Y59" s="73">
        <v>-2616.4250000000002</v>
      </c>
      <c r="Z59" s="73">
        <v>-3537.2510000000002</v>
      </c>
      <c r="AA59" s="265">
        <v>-1045.55</v>
      </c>
      <c r="AB59" s="265">
        <v>-2234.2829999999999</v>
      </c>
      <c r="AC59" s="265">
        <v>-3401.625</v>
      </c>
      <c r="AD59" s="265">
        <v>-4609.9399999999996</v>
      </c>
      <c r="AE59" s="265">
        <v>-1148</v>
      </c>
      <c r="AF59" s="265">
        <v>-2266</v>
      </c>
      <c r="AG59" s="265">
        <v>-3435</v>
      </c>
      <c r="AH59" s="265">
        <v>-4671</v>
      </c>
      <c r="AI59" s="265">
        <v>-1229</v>
      </c>
      <c r="AJ59" s="265">
        <v>-2547</v>
      </c>
      <c r="BC59" s="70"/>
      <c r="BE59" s="28"/>
      <c r="BH59" s="28"/>
    </row>
    <row r="60" spans="1:60">
      <c r="A60" s="107" t="s">
        <v>60</v>
      </c>
      <c r="B60" s="112" t="s">
        <v>148</v>
      </c>
      <c r="C60" s="73">
        <v>-3581</v>
      </c>
      <c r="D60" s="73">
        <v>-7432</v>
      </c>
      <c r="E60" s="73">
        <v>-10917</v>
      </c>
      <c r="F60" s="73">
        <v>-14536</v>
      </c>
      <c r="G60" s="73">
        <v>-3165</v>
      </c>
      <c r="H60" s="73">
        <v>-9092</v>
      </c>
      <c r="I60" s="73">
        <v>-13074</v>
      </c>
      <c r="J60" s="73">
        <v>-18485</v>
      </c>
      <c r="K60" s="73">
        <v>-4394</v>
      </c>
      <c r="L60" s="73">
        <v>-10612</v>
      </c>
      <c r="M60" s="73">
        <v>-14840</v>
      </c>
      <c r="N60" s="73">
        <v>-19328</v>
      </c>
      <c r="O60" s="73">
        <v>-4081</v>
      </c>
      <c r="P60" s="73">
        <v>-8687</v>
      </c>
      <c r="Q60" s="73">
        <v>-13852</v>
      </c>
      <c r="R60" s="73">
        <v>-20936</v>
      </c>
      <c r="S60" s="73">
        <v>-6925</v>
      </c>
      <c r="T60" s="73">
        <v>-14366</v>
      </c>
      <c r="U60" s="73">
        <v>-22462</v>
      </c>
      <c r="V60" s="73">
        <v>-30854</v>
      </c>
      <c r="W60" s="73">
        <v>-4736.3598200000015</v>
      </c>
      <c r="X60" s="73">
        <v>-10933.087349999989</v>
      </c>
      <c r="Y60" s="73">
        <v>-21052.815100000003</v>
      </c>
      <c r="Z60" s="73">
        <v>-30982.794289999998</v>
      </c>
      <c r="AA60" s="265">
        <v>-9113.2400699999998</v>
      </c>
      <c r="AB60" s="265">
        <v>-17612.431689999998</v>
      </c>
      <c r="AC60" s="265">
        <v>-25397.478920000001</v>
      </c>
      <c r="AD60" s="265">
        <v>-33373.760699999999</v>
      </c>
      <c r="AE60" s="265">
        <v>-7309</v>
      </c>
      <c r="AF60" s="265">
        <v>-13959</v>
      </c>
      <c r="AG60" s="265">
        <v>-21873</v>
      </c>
      <c r="AH60" s="265">
        <v>-28165</v>
      </c>
      <c r="AI60" s="265">
        <v>-6608</v>
      </c>
      <c r="AJ60" s="265">
        <v>-13169</v>
      </c>
      <c r="BC60" s="70"/>
      <c r="BE60" s="28"/>
      <c r="BF60" s="28"/>
      <c r="BH60" s="28"/>
    </row>
    <row r="61" spans="1:60">
      <c r="A61" s="107"/>
      <c r="B61" s="11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265">
        <v>0</v>
      </c>
      <c r="AB61" s="265">
        <v>0</v>
      </c>
      <c r="AC61" s="265">
        <v>0</v>
      </c>
      <c r="AD61" s="265">
        <v>0</v>
      </c>
      <c r="AE61" s="265">
        <v>0</v>
      </c>
      <c r="AF61" s="265">
        <v>0</v>
      </c>
      <c r="AG61" s="265"/>
      <c r="AH61" s="265"/>
      <c r="AI61" s="265"/>
      <c r="AJ61" s="265"/>
      <c r="BC61" s="70"/>
    </row>
    <row r="62" spans="1:60">
      <c r="A62" s="107" t="s">
        <v>62</v>
      </c>
      <c r="B62" s="112" t="s">
        <v>150</v>
      </c>
      <c r="C62" s="73">
        <v>-12451</v>
      </c>
      <c r="D62" s="73">
        <v>-26764</v>
      </c>
      <c r="E62" s="73">
        <v>-40613</v>
      </c>
      <c r="F62" s="73">
        <v>-54635</v>
      </c>
      <c r="G62" s="73">
        <v>-13881</v>
      </c>
      <c r="H62" s="73">
        <v>-28725</v>
      </c>
      <c r="I62" s="73">
        <v>-44520</v>
      </c>
      <c r="J62" s="73">
        <v>-60350</v>
      </c>
      <c r="K62" s="73">
        <v>-15775</v>
      </c>
      <c r="L62" s="73">
        <v>-32966</v>
      </c>
      <c r="M62" s="73">
        <v>-51321</v>
      </c>
      <c r="N62" s="73">
        <v>-69186</v>
      </c>
      <c r="O62" s="73">
        <v>-17380</v>
      </c>
      <c r="P62" s="73">
        <v>-37099</v>
      </c>
      <c r="Q62" s="73">
        <v>-57226</v>
      </c>
      <c r="R62" s="73">
        <v>-77596</v>
      </c>
      <c r="S62" s="73">
        <v>-20515</v>
      </c>
      <c r="T62" s="73">
        <v>-43598</v>
      </c>
      <c r="U62" s="73">
        <v>-66973</v>
      </c>
      <c r="V62" s="73">
        <v>-89297</v>
      </c>
      <c r="W62" s="73">
        <v>-20241.899000000001</v>
      </c>
      <c r="X62" s="73">
        <v>-44867.488290000001</v>
      </c>
      <c r="Y62" s="73">
        <v>-77657.298970000003</v>
      </c>
      <c r="Z62" s="73">
        <v>-107029.67096999999</v>
      </c>
      <c r="AA62" s="265">
        <v>-26019.298999999999</v>
      </c>
      <c r="AB62" s="265">
        <v>-44803.57</v>
      </c>
      <c r="AC62" s="265">
        <v>-71954.025999999998</v>
      </c>
      <c r="AD62" s="265">
        <v>-93513.650999999998</v>
      </c>
      <c r="AE62" s="265">
        <v>-21459</v>
      </c>
      <c r="AF62" s="265">
        <v>-40122</v>
      </c>
      <c r="AG62" s="265">
        <v>-65976</v>
      </c>
      <c r="AH62" s="265">
        <v>-86391</v>
      </c>
      <c r="AI62" s="265">
        <v>-23971</v>
      </c>
      <c r="AJ62" s="265">
        <v>-48832</v>
      </c>
      <c r="BC62" s="70"/>
      <c r="BE62" s="28"/>
      <c r="BF62" s="28"/>
      <c r="BH62" s="28"/>
    </row>
    <row r="63" spans="1:60">
      <c r="A63" s="102" t="s">
        <v>63</v>
      </c>
      <c r="B63" s="112" t="s">
        <v>151</v>
      </c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3">
        <v>-3016.761</v>
      </c>
      <c r="X63" s="73">
        <v>-7073.6149999999998</v>
      </c>
      <c r="Y63" s="73">
        <v>-10716.335999999999</v>
      </c>
      <c r="Z63" s="73">
        <v>-10048.406000000001</v>
      </c>
      <c r="AA63" s="265">
        <v>-3786.1570000000002</v>
      </c>
      <c r="AB63" s="265">
        <v>-7573.5490000000009</v>
      </c>
      <c r="AC63" s="265">
        <v>-12866.554</v>
      </c>
      <c r="AD63" s="265">
        <v>-16440.422999999999</v>
      </c>
      <c r="AE63" s="265">
        <v>-4936</v>
      </c>
      <c r="AF63" s="265">
        <v>-9642</v>
      </c>
      <c r="AG63" s="265">
        <v>-12521</v>
      </c>
      <c r="AH63" s="265">
        <v>-15036</v>
      </c>
      <c r="AI63" s="265">
        <v>-2464</v>
      </c>
      <c r="AJ63" s="265">
        <v>-6433</v>
      </c>
      <c r="BC63" s="70"/>
    </row>
    <row r="64" spans="1:60">
      <c r="A64" s="107"/>
      <c r="B64" s="112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265">
        <v>0</v>
      </c>
      <c r="AB64" s="265">
        <v>0</v>
      </c>
      <c r="AC64" s="265">
        <v>0</v>
      </c>
      <c r="AD64" s="265">
        <v>0</v>
      </c>
      <c r="AE64" s="265">
        <v>0</v>
      </c>
      <c r="AF64" s="265">
        <v>0</v>
      </c>
      <c r="AG64" s="265"/>
      <c r="AH64" s="265"/>
      <c r="AI64" s="265"/>
      <c r="AJ64" s="265"/>
      <c r="BC64" s="70"/>
    </row>
    <row r="65" spans="1:60">
      <c r="A65" s="107" t="s">
        <v>65</v>
      </c>
      <c r="B65" s="112" t="s">
        <v>153</v>
      </c>
      <c r="C65" s="73">
        <v>-952</v>
      </c>
      <c r="D65" s="73">
        <v>-1728</v>
      </c>
      <c r="E65" s="73">
        <v>-2619</v>
      </c>
      <c r="F65" s="73">
        <v>-3366</v>
      </c>
      <c r="G65" s="73">
        <v>-788</v>
      </c>
      <c r="H65" s="73">
        <v>-1550</v>
      </c>
      <c r="I65" s="73">
        <v>-2400</v>
      </c>
      <c r="J65" s="73">
        <v>-3386</v>
      </c>
      <c r="K65" s="73">
        <v>-814</v>
      </c>
      <c r="L65" s="73">
        <v>-1669</v>
      </c>
      <c r="M65" s="73">
        <v>-2509</v>
      </c>
      <c r="N65" s="73">
        <v>-3597</v>
      </c>
      <c r="O65" s="73">
        <v>-1054</v>
      </c>
      <c r="P65" s="73">
        <v>-1925</v>
      </c>
      <c r="Q65" s="73">
        <v>-2715</v>
      </c>
      <c r="R65" s="73">
        <v>-3511</v>
      </c>
      <c r="S65" s="73">
        <v>-905</v>
      </c>
      <c r="T65" s="73">
        <v>-1714</v>
      </c>
      <c r="U65" s="73">
        <v>-2460</v>
      </c>
      <c r="V65" s="73">
        <v>-3111</v>
      </c>
      <c r="W65" s="73">
        <v>-627.2106</v>
      </c>
      <c r="X65" s="73">
        <v>-1175.9582000000003</v>
      </c>
      <c r="Y65" s="73">
        <v>-1713.4443000000001</v>
      </c>
      <c r="Z65" s="73">
        <v>-2261.5776999999998</v>
      </c>
      <c r="AA65" s="265">
        <v>-794.27049999999997</v>
      </c>
      <c r="AB65" s="265">
        <v>-1571.4322</v>
      </c>
      <c r="AC65" s="265">
        <v>-2455.4874000000004</v>
      </c>
      <c r="AD65" s="265">
        <v>-3321.2352799999999</v>
      </c>
      <c r="AE65" s="265">
        <v>-875</v>
      </c>
      <c r="AF65" s="265">
        <v>-1682</v>
      </c>
      <c r="AG65" s="265">
        <v>-2356</v>
      </c>
      <c r="AH65" s="265">
        <v>-3087</v>
      </c>
      <c r="AI65" s="265">
        <v>-863</v>
      </c>
      <c r="AJ65" s="265">
        <v>-1459</v>
      </c>
      <c r="BC65" s="70"/>
      <c r="BE65" s="28"/>
    </row>
    <row r="66" spans="1:60" ht="24">
      <c r="A66" s="107" t="s">
        <v>66</v>
      </c>
      <c r="B66" s="112" t="s">
        <v>157</v>
      </c>
      <c r="C66" s="73">
        <v>-831</v>
      </c>
      <c r="D66" s="73">
        <v>-2142</v>
      </c>
      <c r="E66" s="73">
        <v>-3273</v>
      </c>
      <c r="F66" s="73">
        <v>-4939</v>
      </c>
      <c r="G66" s="73">
        <v>-1462</v>
      </c>
      <c r="H66" s="73">
        <v>-3382</v>
      </c>
      <c r="I66" s="73">
        <v>-5466</v>
      </c>
      <c r="J66" s="73">
        <v>-7599</v>
      </c>
      <c r="K66" s="73">
        <v>-2153</v>
      </c>
      <c r="L66" s="73">
        <v>-4387</v>
      </c>
      <c r="M66" s="73">
        <v>-6491</v>
      </c>
      <c r="N66" s="73">
        <v>-8667</v>
      </c>
      <c r="O66" s="73">
        <v>-2238</v>
      </c>
      <c r="P66" s="73">
        <v>-4851</v>
      </c>
      <c r="Q66" s="73">
        <v>-7550</v>
      </c>
      <c r="R66" s="73">
        <v>-10244</v>
      </c>
      <c r="S66" s="73">
        <v>-2635</v>
      </c>
      <c r="T66" s="73">
        <v>-5164</v>
      </c>
      <c r="U66" s="73">
        <v>-7341</v>
      </c>
      <c r="V66" s="73">
        <v>-9521</v>
      </c>
      <c r="W66" s="73">
        <v>-2225.1880000000001</v>
      </c>
      <c r="X66" s="73">
        <v>-4372.7450999999992</v>
      </c>
      <c r="Y66" s="73">
        <v>-7574.1150999999991</v>
      </c>
      <c r="Z66" s="73">
        <v>-10308.926900000006</v>
      </c>
      <c r="AA66" s="265">
        <v>-3067.5132999999996</v>
      </c>
      <c r="AB66" s="265">
        <v>-5409.9340000000011</v>
      </c>
      <c r="AC66" s="265">
        <v>-7948.5259999999998</v>
      </c>
      <c r="AD66" s="265">
        <v>-10416.909100000001</v>
      </c>
      <c r="AE66" s="265">
        <v>-2685</v>
      </c>
      <c r="AF66" s="265">
        <v>-5372</v>
      </c>
      <c r="AG66" s="265">
        <v>-8518</v>
      </c>
      <c r="AH66" s="265">
        <v>-11675</v>
      </c>
      <c r="AI66" s="265">
        <v>-2993</v>
      </c>
      <c r="AJ66" s="265">
        <v>-5834</v>
      </c>
      <c r="BC66" s="70"/>
      <c r="BE66" s="28"/>
      <c r="BF66" s="28"/>
      <c r="BH66" s="28"/>
    </row>
    <row r="67" spans="1:60" ht="12.5" thickBot="1">
      <c r="A67" s="107" t="s">
        <v>67</v>
      </c>
      <c r="B67" s="112" t="s">
        <v>155</v>
      </c>
      <c r="C67" s="73">
        <v>-775</v>
      </c>
      <c r="D67" s="73">
        <v>-1383</v>
      </c>
      <c r="E67" s="73">
        <v>-2189</v>
      </c>
      <c r="F67" s="73">
        <v>-3210</v>
      </c>
      <c r="G67" s="73">
        <v>-1084</v>
      </c>
      <c r="H67" s="73">
        <v>-2584</v>
      </c>
      <c r="I67" s="73">
        <v>-3818</v>
      </c>
      <c r="J67" s="73">
        <v>-7014</v>
      </c>
      <c r="K67" s="73">
        <v>-3130</v>
      </c>
      <c r="L67" s="73">
        <v>-4867</v>
      </c>
      <c r="M67" s="73">
        <v>-7458</v>
      </c>
      <c r="N67" s="73">
        <v>-12381</v>
      </c>
      <c r="O67" s="73">
        <v>-4220</v>
      </c>
      <c r="P67" s="73">
        <v>-8735</v>
      </c>
      <c r="Q67" s="73">
        <v>-13995</v>
      </c>
      <c r="R67" s="73">
        <v>-17746</v>
      </c>
      <c r="S67" s="73">
        <v>-4140</v>
      </c>
      <c r="T67" s="73">
        <v>-9555</v>
      </c>
      <c r="U67" s="73">
        <v>-15764</v>
      </c>
      <c r="V67" s="73">
        <v>-23064</v>
      </c>
      <c r="W67" s="73">
        <v>-2557.1770400000046</v>
      </c>
      <c r="X67" s="73">
        <v>-6209.8089499999905</v>
      </c>
      <c r="Y67" s="73">
        <v>-10600.594690000016</v>
      </c>
      <c r="Z67" s="73">
        <v>-18619.834730000141</v>
      </c>
      <c r="AA67" s="265">
        <v>-3946.2486600000111</v>
      </c>
      <c r="AB67" s="265">
        <v>-8895.1665899999734</v>
      </c>
      <c r="AC67" s="265">
        <v>-14132.358420000002</v>
      </c>
      <c r="AD67" s="265">
        <v>-19660.141609999984</v>
      </c>
      <c r="AE67" s="265">
        <v>-4433</v>
      </c>
      <c r="AF67" s="265">
        <v>-11749</v>
      </c>
      <c r="AG67" s="265">
        <v>-18729</v>
      </c>
      <c r="AH67" s="265">
        <v>-26584</v>
      </c>
      <c r="AI67" s="265">
        <v>-6204</v>
      </c>
      <c r="AJ67" s="265">
        <v>-15236</v>
      </c>
      <c r="BC67" s="70"/>
      <c r="BE67" s="28"/>
      <c r="BF67" s="28"/>
      <c r="BH67" s="28"/>
    </row>
    <row r="68" spans="1:60" ht="12.5" thickBot="1">
      <c r="A68" s="108" t="s">
        <v>68</v>
      </c>
      <c r="B68" s="113" t="s">
        <v>156</v>
      </c>
      <c r="C68" s="76">
        <f t="shared" ref="C68:J68" si="42">SUM(C58:C67)</f>
        <v>-19344</v>
      </c>
      <c r="D68" s="76">
        <f t="shared" si="42"/>
        <v>-40842</v>
      </c>
      <c r="E68" s="76">
        <f t="shared" si="42"/>
        <v>-61761</v>
      </c>
      <c r="F68" s="76">
        <f t="shared" si="42"/>
        <v>-83648</v>
      </c>
      <c r="G68" s="76">
        <f t="shared" si="42"/>
        <v>-21064</v>
      </c>
      <c r="H68" s="76">
        <f t="shared" si="42"/>
        <v>-46844</v>
      </c>
      <c r="I68" s="76">
        <f t="shared" si="42"/>
        <v>-71642</v>
      </c>
      <c r="J68" s="76">
        <f t="shared" si="42"/>
        <v>-100107</v>
      </c>
      <c r="K68" s="76">
        <v>-27030</v>
      </c>
      <c r="L68" s="76">
        <f t="shared" ref="L68:Q68" si="43">SUM(L58:L67)</f>
        <v>-56187</v>
      </c>
      <c r="M68" s="76">
        <f t="shared" si="43"/>
        <v>-85234</v>
      </c>
      <c r="N68" s="76">
        <f t="shared" si="43"/>
        <v>-116983</v>
      </c>
      <c r="O68" s="76">
        <f t="shared" si="43"/>
        <v>-29981</v>
      </c>
      <c r="P68" s="76">
        <f t="shared" si="43"/>
        <v>-63627</v>
      </c>
      <c r="Q68" s="76">
        <f t="shared" si="43"/>
        <v>-99153</v>
      </c>
      <c r="R68" s="76">
        <f t="shared" ref="R68:V68" si="44">SUM(R58:R67)</f>
        <v>-135735</v>
      </c>
      <c r="S68" s="76">
        <f t="shared" si="44"/>
        <v>-36698</v>
      </c>
      <c r="T68" s="76">
        <f t="shared" si="44"/>
        <v>-77974</v>
      </c>
      <c r="U68" s="76">
        <f t="shared" si="44"/>
        <v>-120408</v>
      </c>
      <c r="V68" s="76">
        <f t="shared" si="44"/>
        <v>-163176</v>
      </c>
      <c r="W68" s="76">
        <f t="shared" ref="W68:Y68" si="45">SUM(W58:W67)</f>
        <v>-38356.305860000008</v>
      </c>
      <c r="X68" s="76">
        <f t="shared" si="45"/>
        <v>-84627.490489999982</v>
      </c>
      <c r="Y68" s="76">
        <f t="shared" si="45"/>
        <v>-144592.12716000003</v>
      </c>
      <c r="Z68" s="76">
        <f>SUM(Z58:Z67)</f>
        <v>-200734.75459000011</v>
      </c>
      <c r="AA68" s="266">
        <f t="shared" ref="AA68:AJ68" si="46">SUM(AA58:AA67)</f>
        <v>-53135.626330000006</v>
      </c>
      <c r="AB68" s="266">
        <f t="shared" si="46"/>
        <v>-98175.132379999966</v>
      </c>
      <c r="AC68" s="266">
        <f t="shared" si="46"/>
        <v>-153540.93653000004</v>
      </c>
      <c r="AD68" s="266">
        <f t="shared" si="46"/>
        <v>-201358.03987999997</v>
      </c>
      <c r="AE68" s="266">
        <f t="shared" si="46"/>
        <v>-41217</v>
      </c>
      <c r="AF68" s="266">
        <f t="shared" si="46"/>
        <v>-85762</v>
      </c>
      <c r="AG68" s="266">
        <f t="shared" si="46"/>
        <v>-136094</v>
      </c>
      <c r="AH68" s="266">
        <f t="shared" si="46"/>
        <v>-181638</v>
      </c>
      <c r="AI68" s="266">
        <f t="shared" si="46"/>
        <v>-47091</v>
      </c>
      <c r="AJ68" s="266">
        <f t="shared" si="46"/>
        <v>-101467</v>
      </c>
      <c r="BC68" s="70"/>
      <c r="BE68" s="28"/>
      <c r="BF68" s="28"/>
      <c r="BH68" s="28"/>
    </row>
    <row r="69" spans="1:60">
      <c r="A69" s="114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</row>
    <row r="70" spans="1:60" s="190" customFormat="1" ht="24.5" thickBot="1">
      <c r="A70" s="171" t="s">
        <v>502</v>
      </c>
      <c r="B70" s="171" t="s">
        <v>169</v>
      </c>
      <c r="C70" s="188" t="s">
        <v>189</v>
      </c>
      <c r="D70" s="188" t="s">
        <v>192</v>
      </c>
      <c r="E70" s="188" t="s">
        <v>196</v>
      </c>
      <c r="F70" s="188" t="s">
        <v>216</v>
      </c>
      <c r="G70" s="188" t="s">
        <v>219</v>
      </c>
      <c r="H70" s="188" t="s">
        <v>238</v>
      </c>
      <c r="I70" s="188" t="s">
        <v>239</v>
      </c>
      <c r="J70" s="188" t="s">
        <v>242</v>
      </c>
      <c r="K70" s="188" t="s">
        <v>245</v>
      </c>
      <c r="L70" s="188" t="s">
        <v>252</v>
      </c>
      <c r="M70" s="188" t="s">
        <v>257</v>
      </c>
      <c r="N70" s="188" t="s">
        <v>259</v>
      </c>
      <c r="O70" s="188" t="s">
        <v>262</v>
      </c>
      <c r="P70" s="188" t="s">
        <v>267</v>
      </c>
      <c r="Q70" s="188" t="s">
        <v>275</v>
      </c>
      <c r="R70" s="188" t="s">
        <v>282</v>
      </c>
      <c r="S70" s="188" t="s">
        <v>285</v>
      </c>
      <c r="T70" s="188" t="s">
        <v>363</v>
      </c>
      <c r="U70" s="188" t="s">
        <v>405</v>
      </c>
      <c r="V70" s="188" t="s">
        <v>407</v>
      </c>
      <c r="W70" s="188" t="s">
        <v>411</v>
      </c>
      <c r="X70" s="188" t="s">
        <v>420</v>
      </c>
      <c r="Y70" s="188" t="s">
        <v>426</v>
      </c>
      <c r="Z70" s="188" t="s">
        <v>430</v>
      </c>
      <c r="AA70" s="254" t="s">
        <v>510</v>
      </c>
      <c r="AB70" s="254" t="s">
        <v>591</v>
      </c>
      <c r="AC70" s="254" t="s">
        <v>597</v>
      </c>
      <c r="AD70" s="254" t="s">
        <v>608</v>
      </c>
      <c r="AE70" s="254" t="s">
        <v>612</v>
      </c>
      <c r="AF70" s="254" t="s">
        <v>618</v>
      </c>
      <c r="AG70" s="254" t="s">
        <v>630</v>
      </c>
      <c r="AH70" s="254" t="s">
        <v>637</v>
      </c>
      <c r="AI70" s="254" t="s">
        <v>643</v>
      </c>
      <c r="AJ70" s="254" t="s">
        <v>650</v>
      </c>
      <c r="AS70" s="198"/>
      <c r="AT70" s="198"/>
      <c r="AV70" s="198"/>
      <c r="AW70" s="198"/>
      <c r="AX70" s="198"/>
      <c r="AY70" s="198"/>
      <c r="AZ70" s="198"/>
      <c r="BA70" s="198"/>
      <c r="BB70" s="198"/>
      <c r="BC70" s="198"/>
    </row>
    <row r="71" spans="1:60">
      <c r="A71" s="107" t="s">
        <v>59</v>
      </c>
      <c r="B71" s="111" t="s">
        <v>146</v>
      </c>
      <c r="C71" s="72">
        <f>C45+C58</f>
        <v>22932</v>
      </c>
      <c r="D71" s="72">
        <f t="shared" ref="C71:R81" si="47">D45+D58</f>
        <v>46125</v>
      </c>
      <c r="E71" s="72">
        <f t="shared" si="47"/>
        <v>69122</v>
      </c>
      <c r="F71" s="72">
        <f t="shared" si="47"/>
        <v>91490</v>
      </c>
      <c r="G71" s="72">
        <f t="shared" si="47"/>
        <v>21685</v>
      </c>
      <c r="H71" s="72">
        <f t="shared" si="47"/>
        <v>42941</v>
      </c>
      <c r="I71" s="72">
        <f t="shared" si="47"/>
        <v>65099</v>
      </c>
      <c r="J71" s="72">
        <f t="shared" si="47"/>
        <v>84781</v>
      </c>
      <c r="K71" s="72">
        <f t="shared" si="47"/>
        <v>19704</v>
      </c>
      <c r="L71" s="72">
        <f t="shared" si="47"/>
        <v>40019</v>
      </c>
      <c r="M71" s="72">
        <f t="shared" si="47"/>
        <v>59852</v>
      </c>
      <c r="N71" s="72">
        <f t="shared" si="47"/>
        <v>79851</v>
      </c>
      <c r="O71" s="72">
        <f t="shared" si="47"/>
        <v>19354</v>
      </c>
      <c r="P71" s="72">
        <f t="shared" si="47"/>
        <v>38639</v>
      </c>
      <c r="Q71" s="72">
        <f t="shared" si="47"/>
        <v>56882</v>
      </c>
      <c r="R71" s="72">
        <f t="shared" si="47"/>
        <v>76050</v>
      </c>
      <c r="S71" s="72">
        <f t="shared" ref="S71:T81" si="48">S45+S58</f>
        <v>20158</v>
      </c>
      <c r="T71" s="72">
        <f t="shared" si="48"/>
        <v>40534</v>
      </c>
      <c r="U71" s="72">
        <f t="shared" ref="U71:AJ80" si="49">U45+U58</f>
        <v>60842</v>
      </c>
      <c r="V71" s="72">
        <f t="shared" si="49"/>
        <v>79114</v>
      </c>
      <c r="W71" s="72">
        <f t="shared" si="49"/>
        <v>18715.730240000001</v>
      </c>
      <c r="X71" s="72">
        <f t="shared" si="49"/>
        <v>37341.313979999999</v>
      </c>
      <c r="Y71" s="72">
        <f t="shared" si="49"/>
        <v>56541.211490000002</v>
      </c>
      <c r="Z71" s="72">
        <f t="shared" si="49"/>
        <v>74517.215959999987</v>
      </c>
      <c r="AA71" s="267">
        <f t="shared" si="49"/>
        <v>18970.078550000002</v>
      </c>
      <c r="AB71" s="267">
        <f t="shared" si="49"/>
        <v>37848.75647</v>
      </c>
      <c r="AC71" s="267">
        <f t="shared" si="49"/>
        <v>60039.302520000012</v>
      </c>
      <c r="AD71" s="267">
        <f t="shared" si="49"/>
        <v>82224.231830000004</v>
      </c>
      <c r="AE71" s="267">
        <f t="shared" si="49"/>
        <v>40780</v>
      </c>
      <c r="AF71" s="267">
        <f t="shared" si="49"/>
        <v>67609</v>
      </c>
      <c r="AG71" s="267">
        <f t="shared" si="49"/>
        <v>97233</v>
      </c>
      <c r="AH71" s="267">
        <f t="shared" si="49"/>
        <v>125447</v>
      </c>
      <c r="AI71" s="267">
        <f t="shared" si="49"/>
        <v>37730</v>
      </c>
      <c r="AJ71" s="267">
        <f t="shared" si="49"/>
        <v>65575</v>
      </c>
    </row>
    <row r="72" spans="1:60" ht="36">
      <c r="A72" s="107" t="s">
        <v>69</v>
      </c>
      <c r="B72" s="112" t="s">
        <v>147</v>
      </c>
      <c r="C72" s="73">
        <f>C46+C59</f>
        <v>10876</v>
      </c>
      <c r="D72" s="73">
        <f>D46+D59</f>
        <v>22227</v>
      </c>
      <c r="E72" s="73">
        <f>E46+E59</f>
        <v>33627</v>
      </c>
      <c r="F72" s="73">
        <f t="shared" si="47"/>
        <v>45331</v>
      </c>
      <c r="G72" s="73">
        <f t="shared" si="47"/>
        <v>11230</v>
      </c>
      <c r="H72" s="73">
        <f t="shared" si="47"/>
        <v>23133</v>
      </c>
      <c r="I72" s="73">
        <f t="shared" si="47"/>
        <v>35081</v>
      </c>
      <c r="J72" s="73">
        <f t="shared" si="47"/>
        <v>47699</v>
      </c>
      <c r="K72" s="73">
        <f t="shared" si="47"/>
        <v>12063</v>
      </c>
      <c r="L72" s="73">
        <f t="shared" si="47"/>
        <v>25025</v>
      </c>
      <c r="M72" s="73">
        <f t="shared" si="47"/>
        <v>38070</v>
      </c>
      <c r="N72" s="73">
        <f t="shared" si="47"/>
        <v>51531</v>
      </c>
      <c r="O72" s="73">
        <f t="shared" si="47"/>
        <v>13272</v>
      </c>
      <c r="P72" s="73">
        <f t="shared" si="47"/>
        <v>27644</v>
      </c>
      <c r="Q72" s="73">
        <f t="shared" si="47"/>
        <v>42900</v>
      </c>
      <c r="R72" s="73">
        <f t="shared" si="47"/>
        <v>59155</v>
      </c>
      <c r="S72" s="73">
        <f t="shared" si="48"/>
        <v>17405</v>
      </c>
      <c r="T72" s="73">
        <f t="shared" si="48"/>
        <v>34205</v>
      </c>
      <c r="U72" s="73">
        <f t="shared" si="49"/>
        <v>50958</v>
      </c>
      <c r="V72" s="73">
        <f t="shared" si="49"/>
        <v>68275</v>
      </c>
      <c r="W72" s="73">
        <f t="shared" si="49"/>
        <v>16413.442999999999</v>
      </c>
      <c r="X72" s="73">
        <f t="shared" si="49"/>
        <v>34175.212</v>
      </c>
      <c r="Y72" s="73">
        <f t="shared" si="49"/>
        <v>52209.362999999998</v>
      </c>
      <c r="Z72" s="73">
        <f t="shared" si="49"/>
        <v>69068.909999999989</v>
      </c>
      <c r="AA72" s="265">
        <f t="shared" si="49"/>
        <v>15425.972000000002</v>
      </c>
      <c r="AB72" s="265">
        <f t="shared" si="49"/>
        <v>30076.184000000001</v>
      </c>
      <c r="AC72" s="265">
        <f t="shared" si="49"/>
        <v>46556.474999999999</v>
      </c>
      <c r="AD72" s="265">
        <f t="shared" si="49"/>
        <v>63128.039000000004</v>
      </c>
      <c r="AE72" s="265">
        <f t="shared" si="49"/>
        <v>17332</v>
      </c>
      <c r="AF72" s="265">
        <f t="shared" si="49"/>
        <v>35458</v>
      </c>
      <c r="AG72" s="265">
        <f t="shared" si="49"/>
        <v>54400</v>
      </c>
      <c r="AH72" s="265">
        <f t="shared" si="49"/>
        <v>74245</v>
      </c>
      <c r="AI72" s="265">
        <f t="shared" si="49"/>
        <v>20097</v>
      </c>
      <c r="AJ72" s="265">
        <f t="shared" si="49"/>
        <v>41829</v>
      </c>
    </row>
    <row r="73" spans="1:60">
      <c r="A73" s="107" t="s">
        <v>60</v>
      </c>
      <c r="B73" s="112" t="s">
        <v>148</v>
      </c>
      <c r="C73" s="73">
        <f t="shared" si="47"/>
        <v>19378</v>
      </c>
      <c r="D73" s="73">
        <f t="shared" si="47"/>
        <v>36320</v>
      </c>
      <c r="E73" s="73">
        <f t="shared" si="47"/>
        <v>52641</v>
      </c>
      <c r="F73" s="73">
        <f t="shared" si="47"/>
        <v>71873</v>
      </c>
      <c r="G73" s="73">
        <f t="shared" si="47"/>
        <v>25233</v>
      </c>
      <c r="H73" s="73">
        <f t="shared" si="47"/>
        <v>48678</v>
      </c>
      <c r="I73" s="73">
        <f t="shared" si="47"/>
        <v>74865</v>
      </c>
      <c r="J73" s="73">
        <f t="shared" si="47"/>
        <v>99880</v>
      </c>
      <c r="K73" s="73">
        <f t="shared" si="47"/>
        <v>31026</v>
      </c>
      <c r="L73" s="73">
        <f t="shared" si="47"/>
        <v>60526</v>
      </c>
      <c r="M73" s="73">
        <f t="shared" si="47"/>
        <v>89841</v>
      </c>
      <c r="N73" s="73">
        <f t="shared" si="47"/>
        <v>121121</v>
      </c>
      <c r="O73" s="73">
        <f t="shared" si="47"/>
        <v>34634</v>
      </c>
      <c r="P73" s="73">
        <f t="shared" si="47"/>
        <v>66249</v>
      </c>
      <c r="Q73" s="73">
        <f t="shared" si="47"/>
        <v>99031</v>
      </c>
      <c r="R73" s="73">
        <f t="shared" si="47"/>
        <v>132279</v>
      </c>
      <c r="S73" s="73">
        <f t="shared" si="48"/>
        <v>34622</v>
      </c>
      <c r="T73" s="73">
        <f t="shared" si="48"/>
        <v>67225</v>
      </c>
      <c r="U73" s="73">
        <f t="shared" si="49"/>
        <v>98993</v>
      </c>
      <c r="V73" s="73">
        <f t="shared" si="49"/>
        <v>135694</v>
      </c>
      <c r="W73" s="73">
        <f t="shared" si="49"/>
        <v>36263.404160000006</v>
      </c>
      <c r="X73" s="73">
        <f t="shared" si="49"/>
        <v>72840.898589999997</v>
      </c>
      <c r="Y73" s="73">
        <f t="shared" si="49"/>
        <v>114340.34707999998</v>
      </c>
      <c r="Z73" s="73">
        <f t="shared" si="49"/>
        <v>160949.04795999997</v>
      </c>
      <c r="AA73" s="265">
        <f t="shared" si="49"/>
        <v>41203.766550000008</v>
      </c>
      <c r="AB73" s="265">
        <f t="shared" si="49"/>
        <v>77062.568310000002</v>
      </c>
      <c r="AC73" s="265">
        <f t="shared" si="49"/>
        <v>115499.52108000001</v>
      </c>
      <c r="AD73" s="265">
        <f t="shared" si="49"/>
        <v>157966.23930000002</v>
      </c>
      <c r="AE73" s="265">
        <f t="shared" si="49"/>
        <v>43567</v>
      </c>
      <c r="AF73" s="265">
        <f t="shared" si="49"/>
        <v>90668</v>
      </c>
      <c r="AG73" s="265">
        <f t="shared" si="49"/>
        <v>134535</v>
      </c>
      <c r="AH73" s="265">
        <f t="shared" si="49"/>
        <v>184307</v>
      </c>
      <c r="AI73" s="265">
        <f t="shared" si="49"/>
        <v>53368</v>
      </c>
      <c r="AJ73" s="265">
        <f t="shared" si="49"/>
        <v>103823</v>
      </c>
    </row>
    <row r="74" spans="1:60">
      <c r="A74" s="107" t="s">
        <v>61</v>
      </c>
      <c r="B74" s="112" t="s">
        <v>149</v>
      </c>
      <c r="C74" s="73">
        <f t="shared" si="47"/>
        <v>3602</v>
      </c>
      <c r="D74" s="73">
        <f t="shared" si="47"/>
        <v>6722</v>
      </c>
      <c r="E74" s="73">
        <f t="shared" si="47"/>
        <v>9713</v>
      </c>
      <c r="F74" s="73">
        <f t="shared" si="47"/>
        <v>12779</v>
      </c>
      <c r="G74" s="73">
        <f t="shared" si="47"/>
        <v>3576</v>
      </c>
      <c r="H74" s="73">
        <f t="shared" si="47"/>
        <v>6595</v>
      </c>
      <c r="I74" s="73">
        <f t="shared" si="47"/>
        <v>9497</v>
      </c>
      <c r="J74" s="73">
        <f t="shared" si="47"/>
        <v>12517</v>
      </c>
      <c r="K74" s="73">
        <f t="shared" si="47"/>
        <v>3748</v>
      </c>
      <c r="L74" s="73">
        <f t="shared" si="47"/>
        <v>6669</v>
      </c>
      <c r="M74" s="73">
        <f t="shared" si="47"/>
        <v>9286</v>
      </c>
      <c r="N74" s="73">
        <f t="shared" si="47"/>
        <v>12261</v>
      </c>
      <c r="O74" s="73">
        <f t="shared" si="47"/>
        <v>3640</v>
      </c>
      <c r="P74" s="73">
        <f t="shared" si="47"/>
        <v>6539</v>
      </c>
      <c r="Q74" s="73">
        <f t="shared" si="47"/>
        <v>9410</v>
      </c>
      <c r="R74" s="73">
        <f t="shared" si="47"/>
        <v>12158</v>
      </c>
      <c r="S74" s="73">
        <f t="shared" si="48"/>
        <v>3810</v>
      </c>
      <c r="T74" s="73">
        <f t="shared" si="48"/>
        <v>7165</v>
      </c>
      <c r="U74" s="73">
        <f t="shared" si="49"/>
        <v>10775</v>
      </c>
      <c r="V74" s="73">
        <f t="shared" si="49"/>
        <v>15172</v>
      </c>
      <c r="W74" s="73">
        <f t="shared" si="49"/>
        <v>3569.0448099999999</v>
      </c>
      <c r="X74" s="73">
        <f t="shared" si="49"/>
        <v>6737.7462599999999</v>
      </c>
      <c r="Y74" s="73">
        <f t="shared" si="49"/>
        <v>10261.76326</v>
      </c>
      <c r="Z74" s="73">
        <f t="shared" si="49"/>
        <v>13790.09793</v>
      </c>
      <c r="AA74" s="265">
        <f t="shared" si="49"/>
        <v>3759.0601299999998</v>
      </c>
      <c r="AB74" s="265">
        <f t="shared" si="49"/>
        <v>6950.55825</v>
      </c>
      <c r="AC74" s="265">
        <f t="shared" si="49"/>
        <v>10333.08546</v>
      </c>
      <c r="AD74" s="265">
        <f t="shared" si="49"/>
        <v>13798.77382</v>
      </c>
      <c r="AE74" s="265">
        <f t="shared" si="49"/>
        <v>3229</v>
      </c>
      <c r="AF74" s="265">
        <f t="shared" si="49"/>
        <v>6659</v>
      </c>
      <c r="AG74" s="265">
        <f t="shared" si="49"/>
        <v>9928</v>
      </c>
      <c r="AH74" s="265">
        <f t="shared" si="49"/>
        <v>13425</v>
      </c>
      <c r="AI74" s="265">
        <f t="shared" si="49"/>
        <v>3876</v>
      </c>
      <c r="AJ74" s="265">
        <f t="shared" si="49"/>
        <v>7062</v>
      </c>
    </row>
    <row r="75" spans="1:60">
      <c r="A75" s="107" t="s">
        <v>62</v>
      </c>
      <c r="B75" s="112" t="s">
        <v>150</v>
      </c>
      <c r="C75" s="73">
        <f t="shared" si="47"/>
        <v>37848</v>
      </c>
      <c r="D75" s="73">
        <f t="shared" si="47"/>
        <v>77227</v>
      </c>
      <c r="E75" s="73">
        <f t="shared" si="47"/>
        <v>102913</v>
      </c>
      <c r="F75" s="73">
        <f t="shared" si="47"/>
        <v>128382</v>
      </c>
      <c r="G75" s="73">
        <f t="shared" si="47"/>
        <v>18570</v>
      </c>
      <c r="H75" s="73">
        <f t="shared" si="47"/>
        <v>37146</v>
      </c>
      <c r="I75" s="73">
        <f t="shared" si="47"/>
        <v>55875</v>
      </c>
      <c r="J75" s="73">
        <f t="shared" si="47"/>
        <v>74709</v>
      </c>
      <c r="K75" s="73">
        <f t="shared" si="47"/>
        <v>18602</v>
      </c>
      <c r="L75" s="73">
        <f t="shared" si="47"/>
        <v>37901</v>
      </c>
      <c r="M75" s="73">
        <f t="shared" si="47"/>
        <v>58307</v>
      </c>
      <c r="N75" s="73">
        <f t="shared" si="47"/>
        <v>78630</v>
      </c>
      <c r="O75" s="73">
        <f t="shared" si="47"/>
        <v>20662</v>
      </c>
      <c r="P75" s="73">
        <f t="shared" si="47"/>
        <v>41560</v>
      </c>
      <c r="Q75" s="73">
        <f t="shared" si="47"/>
        <v>63431</v>
      </c>
      <c r="R75" s="73">
        <f t="shared" si="47"/>
        <v>84484</v>
      </c>
      <c r="S75" s="73">
        <f t="shared" si="48"/>
        <v>19871</v>
      </c>
      <c r="T75" s="73">
        <f t="shared" si="48"/>
        <v>40297</v>
      </c>
      <c r="U75" s="73">
        <f t="shared" si="49"/>
        <v>63003</v>
      </c>
      <c r="V75" s="73">
        <f t="shared" si="49"/>
        <v>88447</v>
      </c>
      <c r="W75" s="73">
        <f t="shared" si="49"/>
        <v>24033.927</v>
      </c>
      <c r="X75" s="73">
        <f t="shared" si="49"/>
        <v>49193.475939999997</v>
      </c>
      <c r="Y75" s="73">
        <f t="shared" si="49"/>
        <v>73349.787909999985</v>
      </c>
      <c r="Z75" s="73">
        <f t="shared" si="49"/>
        <v>98792.95091</v>
      </c>
      <c r="AA75" s="265">
        <f t="shared" si="49"/>
        <v>27959.826999999997</v>
      </c>
      <c r="AB75" s="265">
        <f t="shared" si="49"/>
        <v>59455.026999999995</v>
      </c>
      <c r="AC75" s="265">
        <f t="shared" si="49"/>
        <v>89338.134999999995</v>
      </c>
      <c r="AD75" s="265">
        <f t="shared" si="49"/>
        <v>127572.09000000001</v>
      </c>
      <c r="AE75" s="265">
        <f t="shared" si="49"/>
        <v>30276</v>
      </c>
      <c r="AF75" s="265">
        <f t="shared" si="49"/>
        <v>68704</v>
      </c>
      <c r="AG75" s="265">
        <f t="shared" si="49"/>
        <v>106736</v>
      </c>
      <c r="AH75" s="265">
        <f t="shared" si="49"/>
        <v>149188</v>
      </c>
      <c r="AI75" s="265">
        <f t="shared" si="49"/>
        <v>36989</v>
      </c>
      <c r="AJ75" s="265">
        <f t="shared" si="49"/>
        <v>79647</v>
      </c>
    </row>
    <row r="76" spans="1:60">
      <c r="A76" s="107" t="s">
        <v>63</v>
      </c>
      <c r="B76" s="112" t="s">
        <v>151</v>
      </c>
      <c r="C76" s="73">
        <f t="shared" si="47"/>
        <v>12465</v>
      </c>
      <c r="D76" s="73">
        <f t="shared" si="47"/>
        <v>36070</v>
      </c>
      <c r="E76" s="73">
        <f t="shared" si="47"/>
        <v>60808</v>
      </c>
      <c r="F76" s="73">
        <f t="shared" si="47"/>
        <v>76166</v>
      </c>
      <c r="G76" s="73">
        <f t="shared" si="47"/>
        <v>27072</v>
      </c>
      <c r="H76" s="73">
        <f t="shared" si="47"/>
        <v>41028</v>
      </c>
      <c r="I76" s="73">
        <f t="shared" si="47"/>
        <v>62364</v>
      </c>
      <c r="J76" s="73">
        <f t="shared" si="47"/>
        <v>83397</v>
      </c>
      <c r="K76" s="73">
        <f t="shared" si="47"/>
        <v>11666</v>
      </c>
      <c r="L76" s="73">
        <f t="shared" si="47"/>
        <v>25700</v>
      </c>
      <c r="M76" s="73">
        <f t="shared" si="47"/>
        <v>45431</v>
      </c>
      <c r="N76" s="73">
        <f t="shared" si="47"/>
        <v>67452</v>
      </c>
      <c r="O76" s="73">
        <f t="shared" si="47"/>
        <v>24736</v>
      </c>
      <c r="P76" s="73">
        <f t="shared" si="47"/>
        <v>48903</v>
      </c>
      <c r="Q76" s="73">
        <f t="shared" si="47"/>
        <v>73523</v>
      </c>
      <c r="R76" s="73">
        <f t="shared" si="47"/>
        <v>98598</v>
      </c>
      <c r="S76" s="73">
        <f t="shared" si="48"/>
        <v>29978</v>
      </c>
      <c r="T76" s="73">
        <f t="shared" si="48"/>
        <v>53956</v>
      </c>
      <c r="U76" s="73">
        <f t="shared" si="49"/>
        <v>78599</v>
      </c>
      <c r="V76" s="73">
        <f t="shared" si="49"/>
        <v>102733</v>
      </c>
      <c r="W76" s="73">
        <f t="shared" si="49"/>
        <v>26698.565420000003</v>
      </c>
      <c r="X76" s="73">
        <f t="shared" si="49"/>
        <v>62737.859010000007</v>
      </c>
      <c r="Y76" s="73">
        <f t="shared" si="49"/>
        <v>98831.932679999998</v>
      </c>
      <c r="Z76" s="73">
        <f t="shared" si="49"/>
        <v>138346.07073000001</v>
      </c>
      <c r="AA76" s="265">
        <f t="shared" si="49"/>
        <v>51756.258390000003</v>
      </c>
      <c r="AB76" s="265">
        <f t="shared" si="49"/>
        <v>93278.451000000001</v>
      </c>
      <c r="AC76" s="265">
        <f t="shared" si="49"/>
        <v>123551.446</v>
      </c>
      <c r="AD76" s="265">
        <f t="shared" si="49"/>
        <v>153280.57699999999</v>
      </c>
      <c r="AE76" s="265">
        <f t="shared" si="49"/>
        <v>33774</v>
      </c>
      <c r="AF76" s="265">
        <f t="shared" si="49"/>
        <v>73246</v>
      </c>
      <c r="AG76" s="265">
        <f t="shared" si="49"/>
        <v>106034</v>
      </c>
      <c r="AH76" s="265">
        <f t="shared" si="49"/>
        <v>141788</v>
      </c>
      <c r="AI76" s="265">
        <f t="shared" si="49"/>
        <v>38672</v>
      </c>
      <c r="AJ76" s="265">
        <f t="shared" si="49"/>
        <v>77141</v>
      </c>
    </row>
    <row r="77" spans="1:60" ht="24">
      <c r="A77" s="107" t="s">
        <v>64</v>
      </c>
      <c r="B77" s="112" t="s">
        <v>152</v>
      </c>
      <c r="C77" s="73">
        <f t="shared" si="47"/>
        <v>21569</v>
      </c>
      <c r="D77" s="73">
        <f t="shared" si="47"/>
        <v>41838</v>
      </c>
      <c r="E77" s="73">
        <f t="shared" si="47"/>
        <v>63399</v>
      </c>
      <c r="F77" s="73">
        <f t="shared" si="47"/>
        <v>83788</v>
      </c>
      <c r="G77" s="73">
        <f t="shared" si="47"/>
        <v>22217</v>
      </c>
      <c r="H77" s="73">
        <f t="shared" si="47"/>
        <v>50609</v>
      </c>
      <c r="I77" s="73">
        <f t="shared" si="47"/>
        <v>72836</v>
      </c>
      <c r="J77" s="73">
        <f t="shared" si="47"/>
        <v>87383</v>
      </c>
      <c r="K77" s="73">
        <f t="shared" si="47"/>
        <v>14266</v>
      </c>
      <c r="L77" s="73">
        <f t="shared" si="47"/>
        <v>31298</v>
      </c>
      <c r="M77" s="73">
        <f t="shared" si="47"/>
        <v>52287</v>
      </c>
      <c r="N77" s="73">
        <f t="shared" si="47"/>
        <v>73615</v>
      </c>
      <c r="O77" s="73">
        <f t="shared" si="47"/>
        <v>23562</v>
      </c>
      <c r="P77" s="73">
        <f t="shared" si="47"/>
        <v>45776</v>
      </c>
      <c r="Q77" s="73">
        <f t="shared" si="47"/>
        <v>67378</v>
      </c>
      <c r="R77" s="73">
        <f t="shared" si="47"/>
        <v>89212</v>
      </c>
      <c r="S77" s="73">
        <f t="shared" si="48"/>
        <v>17636</v>
      </c>
      <c r="T77" s="73">
        <f t="shared" si="48"/>
        <v>36762</v>
      </c>
      <c r="U77" s="73">
        <f t="shared" si="49"/>
        <v>55387</v>
      </c>
      <c r="V77" s="73">
        <f t="shared" si="49"/>
        <v>68615</v>
      </c>
      <c r="W77" s="73">
        <f t="shared" si="49"/>
        <v>14893.317499999999</v>
      </c>
      <c r="X77" s="73">
        <f t="shared" si="49"/>
        <v>30837.091100000001</v>
      </c>
      <c r="Y77" s="73">
        <f t="shared" si="49"/>
        <v>46199.662599999996</v>
      </c>
      <c r="Z77" s="73">
        <f t="shared" si="49"/>
        <v>60676.63</v>
      </c>
      <c r="AA77" s="265">
        <f t="shared" si="49"/>
        <v>14431.624099999999</v>
      </c>
      <c r="AB77" s="265">
        <f t="shared" si="49"/>
        <v>28986.678800000002</v>
      </c>
      <c r="AC77" s="265">
        <f t="shared" si="49"/>
        <v>47602.3387</v>
      </c>
      <c r="AD77" s="265">
        <f t="shared" si="49"/>
        <v>65959.075200000007</v>
      </c>
      <c r="AE77" s="265">
        <f t="shared" si="49"/>
        <v>17153</v>
      </c>
      <c r="AF77" s="265">
        <f t="shared" si="49"/>
        <v>34817</v>
      </c>
      <c r="AG77" s="265">
        <f t="shared" si="49"/>
        <v>49879</v>
      </c>
      <c r="AH77" s="265">
        <f t="shared" si="49"/>
        <v>63876</v>
      </c>
      <c r="AI77" s="265">
        <f t="shared" si="49"/>
        <v>11351</v>
      </c>
      <c r="AJ77" s="265">
        <f t="shared" si="49"/>
        <v>20758</v>
      </c>
    </row>
    <row r="78" spans="1:60">
      <c r="A78" s="107" t="s">
        <v>65</v>
      </c>
      <c r="B78" s="112" t="s">
        <v>153</v>
      </c>
      <c r="C78" s="73">
        <f t="shared" si="47"/>
        <v>4765</v>
      </c>
      <c r="D78" s="73">
        <f t="shared" si="47"/>
        <v>8471</v>
      </c>
      <c r="E78" s="73">
        <f t="shared" si="47"/>
        <v>12134</v>
      </c>
      <c r="F78" s="73">
        <f t="shared" si="47"/>
        <v>16248</v>
      </c>
      <c r="G78" s="73">
        <f t="shared" si="47"/>
        <v>5756</v>
      </c>
      <c r="H78" s="73">
        <f t="shared" si="47"/>
        <v>9314</v>
      </c>
      <c r="I78" s="73">
        <f t="shared" si="47"/>
        <v>13062</v>
      </c>
      <c r="J78" s="73">
        <f t="shared" si="47"/>
        <v>17079</v>
      </c>
      <c r="K78" s="73">
        <f t="shared" si="47"/>
        <v>3573</v>
      </c>
      <c r="L78" s="73">
        <f t="shared" si="47"/>
        <v>7721</v>
      </c>
      <c r="M78" s="73">
        <f t="shared" si="47"/>
        <v>11960</v>
      </c>
      <c r="N78" s="73">
        <f t="shared" si="47"/>
        <v>16717</v>
      </c>
      <c r="O78" s="73">
        <f t="shared" si="47"/>
        <v>4793</v>
      </c>
      <c r="P78" s="73">
        <f t="shared" si="47"/>
        <v>8967</v>
      </c>
      <c r="Q78" s="73">
        <f t="shared" si="47"/>
        <v>13030</v>
      </c>
      <c r="R78" s="73">
        <f t="shared" si="47"/>
        <v>18239</v>
      </c>
      <c r="S78" s="73">
        <f t="shared" si="48"/>
        <v>3979</v>
      </c>
      <c r="T78" s="73">
        <f t="shared" si="48"/>
        <v>7957</v>
      </c>
      <c r="U78" s="73">
        <f t="shared" si="49"/>
        <v>11446</v>
      </c>
      <c r="V78" s="73">
        <f t="shared" si="49"/>
        <v>14649</v>
      </c>
      <c r="W78" s="73">
        <f t="shared" si="49"/>
        <v>2949.6473000000001</v>
      </c>
      <c r="X78" s="73">
        <f t="shared" si="49"/>
        <v>5578.6952000000001</v>
      </c>
      <c r="Y78" s="73">
        <f t="shared" si="49"/>
        <v>8270.9297999999981</v>
      </c>
      <c r="Z78" s="73">
        <f t="shared" si="49"/>
        <v>11100.430700000001</v>
      </c>
      <c r="AA78" s="265">
        <f t="shared" si="49"/>
        <v>3636.6408000000006</v>
      </c>
      <c r="AB78" s="265">
        <f t="shared" si="49"/>
        <v>7890.9946000000009</v>
      </c>
      <c r="AC78" s="265">
        <f t="shared" si="49"/>
        <v>11764.027099999999</v>
      </c>
      <c r="AD78" s="265">
        <f t="shared" si="49"/>
        <v>15838.208119999999</v>
      </c>
      <c r="AE78" s="265">
        <f t="shared" si="49"/>
        <v>4195</v>
      </c>
      <c r="AF78" s="265">
        <f t="shared" si="49"/>
        <v>7575</v>
      </c>
      <c r="AG78" s="265">
        <f t="shared" si="49"/>
        <v>10583</v>
      </c>
      <c r="AH78" s="265">
        <f t="shared" si="49"/>
        <v>14172</v>
      </c>
      <c r="AI78" s="265">
        <f t="shared" si="49"/>
        <v>4139</v>
      </c>
      <c r="AJ78" s="265">
        <f t="shared" si="49"/>
        <v>6240</v>
      </c>
    </row>
    <row r="79" spans="1:60" ht="24">
      <c r="A79" s="107" t="s">
        <v>66</v>
      </c>
      <c r="B79" s="112" t="s">
        <v>154</v>
      </c>
      <c r="C79" s="73">
        <f t="shared" si="47"/>
        <v>19992</v>
      </c>
      <c r="D79" s="73">
        <f t="shared" si="47"/>
        <v>39292</v>
      </c>
      <c r="E79" s="73">
        <f t="shared" si="47"/>
        <v>58777</v>
      </c>
      <c r="F79" s="73">
        <f t="shared" si="47"/>
        <v>77494</v>
      </c>
      <c r="G79" s="73">
        <f t="shared" si="47"/>
        <v>19025</v>
      </c>
      <c r="H79" s="73">
        <f t="shared" si="47"/>
        <v>39983</v>
      </c>
      <c r="I79" s="73">
        <f t="shared" si="47"/>
        <v>60144</v>
      </c>
      <c r="J79" s="73">
        <f t="shared" si="47"/>
        <v>79356</v>
      </c>
      <c r="K79" s="73">
        <f t="shared" si="47"/>
        <v>17434</v>
      </c>
      <c r="L79" s="73">
        <f t="shared" si="47"/>
        <v>34977</v>
      </c>
      <c r="M79" s="73">
        <f t="shared" si="47"/>
        <v>52807</v>
      </c>
      <c r="N79" s="73">
        <f t="shared" si="47"/>
        <v>71060</v>
      </c>
      <c r="O79" s="73">
        <f t="shared" si="47"/>
        <v>18792</v>
      </c>
      <c r="P79" s="73">
        <f t="shared" si="47"/>
        <v>39056</v>
      </c>
      <c r="Q79" s="73">
        <f t="shared" si="47"/>
        <v>60538</v>
      </c>
      <c r="R79" s="73">
        <f t="shared" si="47"/>
        <v>82332</v>
      </c>
      <c r="S79" s="73">
        <f t="shared" si="48"/>
        <v>21378</v>
      </c>
      <c r="T79" s="73">
        <f t="shared" si="48"/>
        <v>42453</v>
      </c>
      <c r="U79" s="73">
        <f t="shared" si="49"/>
        <v>61794</v>
      </c>
      <c r="V79" s="73">
        <f t="shared" si="49"/>
        <v>78595</v>
      </c>
      <c r="W79" s="73">
        <f t="shared" si="49"/>
        <v>16116.121799999999</v>
      </c>
      <c r="X79" s="73">
        <f t="shared" si="49"/>
        <v>33079.404999999999</v>
      </c>
      <c r="Y79" s="73">
        <f t="shared" si="49"/>
        <v>49066.815199999997</v>
      </c>
      <c r="Z79" s="73">
        <f t="shared" si="49"/>
        <v>65357.208999999988</v>
      </c>
      <c r="AA79" s="265">
        <f t="shared" si="49"/>
        <v>14497.685700000002</v>
      </c>
      <c r="AB79" s="265">
        <f t="shared" si="49"/>
        <v>26767.527399999999</v>
      </c>
      <c r="AC79" s="265">
        <f t="shared" si="49"/>
        <v>40927.288400000005</v>
      </c>
      <c r="AD79" s="265">
        <f t="shared" si="49"/>
        <v>56524.329100000003</v>
      </c>
      <c r="AE79" s="265">
        <f t="shared" si="49"/>
        <v>12504</v>
      </c>
      <c r="AF79" s="265">
        <f t="shared" si="49"/>
        <v>27236</v>
      </c>
      <c r="AG79" s="265">
        <f t="shared" si="49"/>
        <v>43616</v>
      </c>
      <c r="AH79" s="265">
        <f t="shared" si="49"/>
        <v>61015</v>
      </c>
      <c r="AI79" s="265">
        <f t="shared" si="49"/>
        <v>13440</v>
      </c>
      <c r="AJ79" s="265">
        <f t="shared" si="49"/>
        <v>24346</v>
      </c>
    </row>
    <row r="80" spans="1:60" ht="12.5" thickBot="1">
      <c r="A80" s="107" t="s">
        <v>67</v>
      </c>
      <c r="B80" s="112" t="s">
        <v>155</v>
      </c>
      <c r="C80" s="73">
        <f t="shared" si="47"/>
        <v>2068</v>
      </c>
      <c r="D80" s="73">
        <f t="shared" si="47"/>
        <v>4292</v>
      </c>
      <c r="E80" s="73">
        <f t="shared" si="47"/>
        <v>6340</v>
      </c>
      <c r="F80" s="73">
        <f t="shared" si="47"/>
        <v>8122</v>
      </c>
      <c r="G80" s="73">
        <f t="shared" si="47"/>
        <v>2386</v>
      </c>
      <c r="H80" s="73">
        <f t="shared" si="47"/>
        <v>4712</v>
      </c>
      <c r="I80" s="73">
        <f t="shared" si="47"/>
        <v>6903</v>
      </c>
      <c r="J80" s="73">
        <f t="shared" si="47"/>
        <v>9372</v>
      </c>
      <c r="K80" s="73">
        <f t="shared" si="47"/>
        <v>2270</v>
      </c>
      <c r="L80" s="73">
        <f t="shared" si="47"/>
        <v>4300</v>
      </c>
      <c r="M80" s="73">
        <f t="shared" si="47"/>
        <v>6487</v>
      </c>
      <c r="N80" s="73">
        <f t="shared" si="47"/>
        <v>8786</v>
      </c>
      <c r="O80" s="73">
        <f t="shared" si="47"/>
        <v>2672</v>
      </c>
      <c r="P80" s="73">
        <f t="shared" si="47"/>
        <v>5302</v>
      </c>
      <c r="Q80" s="73">
        <f t="shared" si="47"/>
        <v>8050</v>
      </c>
      <c r="R80" s="73">
        <f t="shared" si="47"/>
        <v>11046</v>
      </c>
      <c r="S80" s="73">
        <f t="shared" si="48"/>
        <v>3667</v>
      </c>
      <c r="T80" s="73">
        <f t="shared" si="48"/>
        <v>6033</v>
      </c>
      <c r="U80" s="73">
        <f t="shared" si="49"/>
        <v>7703</v>
      </c>
      <c r="V80" s="73">
        <f t="shared" si="49"/>
        <v>9775</v>
      </c>
      <c r="W80" s="73">
        <f t="shared" si="49"/>
        <v>3520.8489100000338</v>
      </c>
      <c r="X80" s="73">
        <f t="shared" si="49"/>
        <v>5676.9757500003352</v>
      </c>
      <c r="Y80" s="73">
        <f t="shared" si="49"/>
        <v>7434.0787200001796</v>
      </c>
      <c r="Z80" s="73">
        <f t="shared" si="49"/>
        <v>6553.6869000004044</v>
      </c>
      <c r="AA80" s="265">
        <f t="shared" si="49"/>
        <v>2892.3723700000146</v>
      </c>
      <c r="AB80" s="265">
        <f t="shared" si="49"/>
        <v>5211.9882299997462</v>
      </c>
      <c r="AC80" s="265">
        <f t="shared" si="49"/>
        <v>7714.2530299999471</v>
      </c>
      <c r="AD80" s="265">
        <f t="shared" si="49"/>
        <v>9764.2963699998327</v>
      </c>
      <c r="AE80" s="265">
        <f t="shared" si="49"/>
        <v>1967</v>
      </c>
      <c r="AF80" s="265">
        <f t="shared" si="49"/>
        <v>2115</v>
      </c>
      <c r="AG80" s="265">
        <f t="shared" si="49"/>
        <v>2708</v>
      </c>
      <c r="AH80" s="265">
        <f t="shared" si="49"/>
        <v>3149</v>
      </c>
      <c r="AI80" s="265">
        <f t="shared" si="49"/>
        <v>1154</v>
      </c>
      <c r="AJ80" s="265">
        <f t="shared" si="49"/>
        <v>517</v>
      </c>
    </row>
    <row r="81" spans="1:36" ht="12.5" thickBot="1">
      <c r="A81" s="108" t="s">
        <v>68</v>
      </c>
      <c r="B81" s="113" t="s">
        <v>156</v>
      </c>
      <c r="C81" s="2">
        <f t="shared" si="47"/>
        <v>155495</v>
      </c>
      <c r="D81" s="2">
        <f t="shared" si="47"/>
        <v>318584</v>
      </c>
      <c r="E81" s="2">
        <f t="shared" si="47"/>
        <v>469474</v>
      </c>
      <c r="F81" s="2">
        <f t="shared" si="47"/>
        <v>611673</v>
      </c>
      <c r="G81" s="2">
        <f t="shared" si="47"/>
        <v>156750</v>
      </c>
      <c r="H81" s="2">
        <f t="shared" si="47"/>
        <v>304139</v>
      </c>
      <c r="I81" s="2">
        <f t="shared" si="47"/>
        <v>455726</v>
      </c>
      <c r="J81" s="2">
        <f t="shared" si="47"/>
        <v>596173</v>
      </c>
      <c r="K81" s="2">
        <f t="shared" si="47"/>
        <v>134352</v>
      </c>
      <c r="L81" s="2">
        <f>L55+L68</f>
        <v>274136</v>
      </c>
      <c r="M81" s="2">
        <f t="shared" si="47"/>
        <v>424328</v>
      </c>
      <c r="N81" s="2">
        <f t="shared" si="47"/>
        <v>581024</v>
      </c>
      <c r="O81" s="2">
        <f t="shared" si="47"/>
        <v>166117</v>
      </c>
      <c r="P81" s="2">
        <f t="shared" si="47"/>
        <v>328635</v>
      </c>
      <c r="Q81" s="2">
        <f t="shared" si="47"/>
        <v>494173</v>
      </c>
      <c r="R81" s="2">
        <f t="shared" si="47"/>
        <v>663553</v>
      </c>
      <c r="S81" s="2">
        <f t="shared" si="48"/>
        <v>172504</v>
      </c>
      <c r="T81" s="2">
        <f t="shared" ref="T81:V81" si="50">SUM(T71:T80)</f>
        <v>336587</v>
      </c>
      <c r="U81" s="2">
        <f t="shared" si="50"/>
        <v>499500</v>
      </c>
      <c r="V81" s="2">
        <f t="shared" si="50"/>
        <v>661069</v>
      </c>
      <c r="W81" s="2">
        <f t="shared" ref="W81:Y81" si="51">SUM(W71:W80)</f>
        <v>163174.05014000004</v>
      </c>
      <c r="X81" s="2">
        <f t="shared" si="51"/>
        <v>338198.6728300004</v>
      </c>
      <c r="Y81" s="2">
        <f t="shared" si="51"/>
        <v>516505.89174000011</v>
      </c>
      <c r="Z81" s="2">
        <f>SUM(Z71:Z80)</f>
        <v>699152.25009000045</v>
      </c>
      <c r="AA81" s="261">
        <f t="shared" ref="AA81:AJ81" si="52">SUM(AA71:AA80)</f>
        <v>194533.28559000001</v>
      </c>
      <c r="AB81" s="261">
        <f t="shared" si="52"/>
        <v>373528.73405999976</v>
      </c>
      <c r="AC81" s="261">
        <f t="shared" si="52"/>
        <v>553325.87228999997</v>
      </c>
      <c r="AD81" s="261">
        <f t="shared" si="52"/>
        <v>746055.85973999975</v>
      </c>
      <c r="AE81" s="261">
        <f t="shared" si="52"/>
        <v>204777</v>
      </c>
      <c r="AF81" s="261">
        <f t="shared" si="52"/>
        <v>414087</v>
      </c>
      <c r="AG81" s="261">
        <f t="shared" si="52"/>
        <v>615652</v>
      </c>
      <c r="AH81" s="261">
        <f t="shared" si="52"/>
        <v>830612</v>
      </c>
      <c r="AI81" s="261">
        <f t="shared" si="52"/>
        <v>220816</v>
      </c>
      <c r="AJ81" s="261">
        <f t="shared" si="52"/>
        <v>426938</v>
      </c>
    </row>
    <row r="83" spans="1:36">
      <c r="AA83" s="250"/>
      <c r="AB83" s="250"/>
      <c r="AC83" s="250"/>
      <c r="AD83" s="250"/>
      <c r="AE83" s="250"/>
      <c r="AF83" s="250"/>
      <c r="AJ83" s="307"/>
    </row>
    <row r="85" spans="1:36">
      <c r="AA85" s="251"/>
      <c r="AB85" s="251"/>
      <c r="AC85" s="251"/>
      <c r="AE85" s="251"/>
      <c r="AF85" s="251"/>
      <c r="AJ85" s="308"/>
    </row>
    <row r="86" spans="1:36">
      <c r="AA86" s="251"/>
      <c r="AB86" s="251"/>
      <c r="AC86" s="251"/>
      <c r="AE86" s="251"/>
      <c r="AF86" s="251"/>
      <c r="AJ86" s="308"/>
    </row>
    <row r="87" spans="1:36">
      <c r="AA87" s="251"/>
      <c r="AB87" s="251"/>
      <c r="AC87" s="251"/>
      <c r="AE87" s="251"/>
      <c r="AF87" s="251"/>
      <c r="AJ87" s="308"/>
    </row>
    <row r="88" spans="1:36">
      <c r="AA88" s="251"/>
      <c r="AB88" s="251"/>
      <c r="AC88" s="251"/>
      <c r="AE88" s="251"/>
      <c r="AF88" s="251"/>
      <c r="AJ88" s="308"/>
    </row>
    <row r="89" spans="1:36">
      <c r="AA89" s="251"/>
      <c r="AB89" s="251"/>
      <c r="AC89" s="251"/>
      <c r="AE89" s="251"/>
      <c r="AF89" s="251"/>
      <c r="AJ89" s="308"/>
    </row>
    <row r="90" spans="1:36">
      <c r="AA90" s="251"/>
      <c r="AB90" s="251"/>
      <c r="AC90" s="251"/>
      <c r="AE90" s="251"/>
      <c r="AF90" s="251"/>
      <c r="AJ90" s="308"/>
    </row>
    <row r="91" spans="1:36">
      <c r="AA91" s="251"/>
      <c r="AB91" s="251"/>
      <c r="AC91" s="251"/>
      <c r="AE91" s="251"/>
      <c r="AF91" s="251"/>
      <c r="AJ91" s="308"/>
    </row>
    <row r="92" spans="1:36">
      <c r="AA92" s="251"/>
      <c r="AB92" s="251"/>
      <c r="AC92" s="251"/>
      <c r="AE92" s="251"/>
      <c r="AF92" s="251"/>
      <c r="AJ92" s="308"/>
    </row>
    <row r="93" spans="1:36">
      <c r="AA93" s="251"/>
      <c r="AB93" s="251"/>
      <c r="AC93" s="251"/>
      <c r="AE93" s="251"/>
      <c r="AF93" s="251"/>
      <c r="AJ93" s="308"/>
    </row>
    <row r="94" spans="1:36">
      <c r="AA94" s="251"/>
      <c r="AB94" s="251"/>
      <c r="AC94" s="251"/>
      <c r="AE94" s="251"/>
      <c r="AF94" s="251"/>
      <c r="AJ94" s="308"/>
    </row>
    <row r="95" spans="1:36">
      <c r="AA95" s="252"/>
      <c r="AB95" s="252"/>
      <c r="AC95" s="252"/>
      <c r="AE95" s="252"/>
      <c r="AF95" s="252"/>
      <c r="AJ95" s="309"/>
    </row>
    <row r="97" spans="27:36">
      <c r="AA97" s="27"/>
      <c r="AB97" s="27"/>
      <c r="AC97" s="27"/>
      <c r="AE97" s="27"/>
      <c r="AF97" s="27"/>
      <c r="AJ97" s="27"/>
    </row>
    <row r="98" spans="27:36">
      <c r="AA98" s="27"/>
      <c r="AB98" s="27"/>
      <c r="AC98" s="27"/>
      <c r="AE98" s="27"/>
      <c r="AF98" s="27"/>
      <c r="AJ98" s="27"/>
    </row>
    <row r="99" spans="27:36">
      <c r="AA99" s="27"/>
      <c r="AB99" s="27"/>
      <c r="AC99" s="27"/>
      <c r="AE99" s="27"/>
      <c r="AF99" s="27"/>
      <c r="AJ99" s="27"/>
    </row>
    <row r="100" spans="27:36">
      <c r="AA100" s="27"/>
      <c r="AB100" s="27"/>
      <c r="AC100" s="27"/>
      <c r="AE100" s="27"/>
      <c r="AF100" s="27"/>
      <c r="AJ100" s="27"/>
    </row>
    <row r="101" spans="27:36">
      <c r="AA101" s="27"/>
      <c r="AB101" s="27"/>
      <c r="AC101" s="27"/>
      <c r="AE101" s="27"/>
      <c r="AF101" s="27"/>
      <c r="AJ101" s="27"/>
    </row>
    <row r="102" spans="27:36">
      <c r="AA102" s="27"/>
      <c r="AB102" s="27"/>
      <c r="AC102" s="27"/>
      <c r="AE102" s="27"/>
      <c r="AF102" s="27"/>
      <c r="AJ102" s="27"/>
    </row>
    <row r="103" spans="27:36">
      <c r="AA103" s="27"/>
      <c r="AB103" s="27"/>
      <c r="AC103" s="27"/>
      <c r="AE103" s="27"/>
      <c r="AF103" s="27"/>
      <c r="AJ103" s="27"/>
    </row>
    <row r="104" spans="27:36">
      <c r="AA104" s="27"/>
      <c r="AB104" s="27"/>
      <c r="AC104" s="27"/>
      <c r="AE104" s="27"/>
      <c r="AF104" s="27"/>
      <c r="AJ104" s="27"/>
    </row>
    <row r="105" spans="27:36">
      <c r="AA105" s="27"/>
      <c r="AB105" s="27"/>
      <c r="AC105" s="27"/>
      <c r="AE105" s="27"/>
      <c r="AF105" s="27"/>
      <c r="AJ105" s="27"/>
    </row>
    <row r="106" spans="27:36">
      <c r="AA106" s="27"/>
      <c r="AB106" s="27"/>
      <c r="AC106" s="27"/>
      <c r="AE106" s="27"/>
      <c r="AF106" s="27"/>
      <c r="AJ106" s="27"/>
    </row>
    <row r="107" spans="27:36">
      <c r="AA107" s="27"/>
      <c r="AB107" s="27"/>
      <c r="AC107" s="27"/>
      <c r="AE107" s="27"/>
      <c r="AF107" s="27"/>
      <c r="AJ107" s="27"/>
    </row>
  </sheetData>
  <pageMargins left="0.23622047244094491" right="0.23622047244094491" top="0.74803149606299213" bottom="0.74803149606299213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G50"/>
  <sheetViews>
    <sheetView zoomScale="90" zoomScaleNormal="90" workbookViewId="0">
      <pane xSplit="2" ySplit="3" topLeftCell="AJ4" activePane="bottomRight" state="frozenSplit"/>
      <selection pane="topRight" activeCell="C1" sqref="C1"/>
      <selection pane="bottomLeft" activeCell="A4" sqref="A4"/>
      <selection pane="bottomRight" activeCell="A2" sqref="A2"/>
    </sheetView>
  </sheetViews>
  <sheetFormatPr defaultColWidth="8.75" defaultRowHeight="12" outlineLevelCol="1"/>
  <cols>
    <col min="1" max="1" width="37.75" style="69" customWidth="1"/>
    <col min="2" max="2" width="39.75" style="69" customWidth="1"/>
    <col min="3" max="6" width="12.25" style="1" hidden="1" customWidth="1" outlineLevel="1"/>
    <col min="7" max="9" width="10.75" style="1" hidden="1" customWidth="1" outlineLevel="1"/>
    <col min="10" max="10" width="11.75" style="1" hidden="1" customWidth="1" outlineLevel="1"/>
    <col min="11" max="11" width="12.08203125" style="1" hidden="1" customWidth="1" outlineLevel="1" collapsed="1"/>
    <col min="12" max="18" width="12.08203125" style="1" hidden="1" customWidth="1" outlineLevel="1"/>
    <col min="19" max="19" width="12" style="1" customWidth="1" collapsed="1"/>
    <col min="20" max="29" width="12" style="1" customWidth="1"/>
    <col min="30" max="34" width="11.08203125" style="1" customWidth="1"/>
    <col min="35" max="37" width="12" style="1" customWidth="1"/>
    <col min="38" max="38" width="12.25" style="1" customWidth="1" collapsed="1"/>
    <col min="39" max="39" width="12.25" style="1" customWidth="1"/>
    <col min="40" max="40" width="12.25" style="1" customWidth="1" collapsed="1"/>
    <col min="41" max="45" width="12.25" style="1" customWidth="1"/>
    <col min="46" max="46" width="11" style="1" customWidth="1"/>
    <col min="47" max="47" width="10.33203125" style="1" customWidth="1"/>
    <col min="48" max="48" width="10.58203125" style="1" customWidth="1"/>
    <col min="49" max="53" width="11" style="1" customWidth="1"/>
    <col min="54" max="54" width="7.25" style="1" customWidth="1"/>
    <col min="55" max="55" width="6.75" style="1" customWidth="1"/>
    <col min="56" max="56" width="9.08203125" style="1" customWidth="1"/>
    <col min="57" max="57" width="10.58203125" style="1" customWidth="1"/>
    <col min="58" max="16384" width="8.75" style="1"/>
  </cols>
  <sheetData>
    <row r="1" spans="1:54" ht="15.5">
      <c r="A1" s="109" t="s">
        <v>482</v>
      </c>
      <c r="B1" s="54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G1" s="28"/>
      <c r="AH1" s="28"/>
      <c r="AI1" s="28"/>
      <c r="AJ1" s="28"/>
    </row>
    <row r="2" spans="1:54" ht="15.5">
      <c r="A2" s="109" t="s">
        <v>483</v>
      </c>
      <c r="B2" s="54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114"/>
      <c r="AG2" s="28"/>
      <c r="AH2" s="28"/>
      <c r="AI2" s="28"/>
      <c r="AJ2" s="28"/>
    </row>
    <row r="3" spans="1:54" ht="24.5" thickBot="1">
      <c r="A3" s="171" t="s">
        <v>503</v>
      </c>
      <c r="B3" s="171" t="s">
        <v>172</v>
      </c>
      <c r="C3" s="188" t="s">
        <v>189</v>
      </c>
      <c r="D3" s="188" t="s">
        <v>191</v>
      </c>
      <c r="E3" s="188" t="s">
        <v>197</v>
      </c>
      <c r="F3" s="188" t="s">
        <v>215</v>
      </c>
      <c r="G3" s="188" t="s">
        <v>219</v>
      </c>
      <c r="H3" s="188" t="s">
        <v>237</v>
      </c>
      <c r="I3" s="188" t="s">
        <v>240</v>
      </c>
      <c r="J3" s="188" t="s">
        <v>243</v>
      </c>
      <c r="K3" s="188" t="s">
        <v>245</v>
      </c>
      <c r="L3" s="188" t="s">
        <v>253</v>
      </c>
      <c r="M3" s="188" t="s">
        <v>256</v>
      </c>
      <c r="N3" s="188" t="s">
        <v>260</v>
      </c>
      <c r="O3" s="188" t="s">
        <v>262</v>
      </c>
      <c r="P3" s="188" t="s">
        <v>273</v>
      </c>
      <c r="Q3" s="188" t="s">
        <v>276</v>
      </c>
      <c r="R3" s="188" t="s">
        <v>283</v>
      </c>
      <c r="S3" s="188" t="s">
        <v>285</v>
      </c>
      <c r="T3" s="188" t="s">
        <v>364</v>
      </c>
      <c r="U3" s="188" t="s">
        <v>403</v>
      </c>
      <c r="V3" s="188" t="s">
        <v>408</v>
      </c>
      <c r="W3" s="188" t="s">
        <v>411</v>
      </c>
      <c r="X3" s="188" t="s">
        <v>421</v>
      </c>
      <c r="Y3" s="188" t="s">
        <v>425</v>
      </c>
      <c r="Z3" s="188" t="s">
        <v>434</v>
      </c>
      <c r="AA3" s="254" t="s">
        <v>510</v>
      </c>
      <c r="AB3" s="254" t="s">
        <v>590</v>
      </c>
      <c r="AC3" s="254" t="s">
        <v>596</v>
      </c>
      <c r="AD3" s="254" t="s">
        <v>607</v>
      </c>
      <c r="AE3" s="254" t="s">
        <v>612</v>
      </c>
      <c r="AF3" s="254" t="s">
        <v>617</v>
      </c>
      <c r="AG3" s="254" t="s">
        <v>629</v>
      </c>
      <c r="AH3" s="254" t="s">
        <v>636</v>
      </c>
      <c r="AI3" s="254" t="s">
        <v>643</v>
      </c>
      <c r="AJ3" s="254" t="s">
        <v>651</v>
      </c>
      <c r="AK3" s="28"/>
    </row>
    <row r="4" spans="1:54" ht="12.5" thickBot="1">
      <c r="A4" s="115" t="s">
        <v>90</v>
      </c>
      <c r="B4" s="115" t="s">
        <v>158</v>
      </c>
      <c r="C4" s="11">
        <v>-135106</v>
      </c>
      <c r="D4" s="11">
        <v>-134915</v>
      </c>
      <c r="E4" s="11">
        <v>-139628</v>
      </c>
      <c r="F4" s="11">
        <v>-137365</v>
      </c>
      <c r="G4" s="11">
        <v>-138255</v>
      </c>
      <c r="H4" s="11">
        <v>-136908</v>
      </c>
      <c r="I4" s="11">
        <v>-135899</v>
      </c>
      <c r="J4" s="11">
        <v>-135843</v>
      </c>
      <c r="K4" s="11">
        <v>-138836</v>
      </c>
      <c r="L4" s="11">
        <v>-139078</v>
      </c>
      <c r="M4" s="11">
        <v>-139323</v>
      </c>
      <c r="N4" s="11">
        <v>-141521</v>
      </c>
      <c r="O4" s="11">
        <f>+O25</f>
        <v>-145054</v>
      </c>
      <c r="P4" s="11">
        <f>+P25-O25</f>
        <v>-149900</v>
      </c>
      <c r="Q4" s="11">
        <f>+Q25-P25</f>
        <v>-149012</v>
      </c>
      <c r="R4" s="11">
        <f>+R25-Q25</f>
        <v>-152572</v>
      </c>
      <c r="S4" s="11">
        <f>+S25</f>
        <v>-157699</v>
      </c>
      <c r="T4" s="11">
        <f>+T25-S25</f>
        <v>-158521</v>
      </c>
      <c r="U4" s="11">
        <f>+U25-T25</f>
        <v>-160967</v>
      </c>
      <c r="V4" s="11">
        <f>+V25-U25</f>
        <v>-160908</v>
      </c>
      <c r="W4" s="11">
        <f>+W25</f>
        <v>-172555</v>
      </c>
      <c r="X4" s="11">
        <f>+X25-W25</f>
        <v>-199661</v>
      </c>
      <c r="Y4" s="11">
        <f>+Y25-X25</f>
        <v>-231590</v>
      </c>
      <c r="Z4" s="11">
        <f>+Z25-Y25</f>
        <v>-232583</v>
      </c>
      <c r="AA4" s="11">
        <f>+AA25</f>
        <v>-243752</v>
      </c>
      <c r="AB4" s="11">
        <f>+AB25-AA25</f>
        <v>-207448</v>
      </c>
      <c r="AC4" s="11">
        <f>+AC25-AB25</f>
        <v>-211552</v>
      </c>
      <c r="AD4" s="11">
        <f>+AD25-AC25</f>
        <v>-193578</v>
      </c>
      <c r="AE4" s="11">
        <f>+AE25</f>
        <v>-205599</v>
      </c>
      <c r="AF4" s="11">
        <f>+AF25-AE25</f>
        <v>-205416</v>
      </c>
      <c r="AG4" s="11">
        <f>+AG25-AF25</f>
        <v>-202275</v>
      </c>
      <c r="AH4" s="11">
        <f>+AH25-AG25</f>
        <v>-202034</v>
      </c>
      <c r="AI4" s="11">
        <f>+AI25</f>
        <v>-217934</v>
      </c>
      <c r="AJ4" s="11">
        <f>+AJ25-AI25</f>
        <v>-227493</v>
      </c>
      <c r="AK4" s="28"/>
    </row>
    <row r="5" spans="1:54" ht="12.5" thickBot="1">
      <c r="A5" s="115" t="s">
        <v>80</v>
      </c>
      <c r="B5" s="115" t="s">
        <v>173</v>
      </c>
      <c r="C5" s="11">
        <v>-126055</v>
      </c>
      <c r="D5" s="11">
        <v>-131478</v>
      </c>
      <c r="E5" s="11">
        <v>-125305</v>
      </c>
      <c r="F5" s="11">
        <v>-126201</v>
      </c>
      <c r="G5" s="11">
        <v>-124259</v>
      </c>
      <c r="H5" s="11">
        <v>-121808</v>
      </c>
      <c r="I5" s="11">
        <v>-117500</v>
      </c>
      <c r="J5" s="11">
        <v>-126142</v>
      </c>
      <c r="K5" s="11">
        <v>-119524</v>
      </c>
      <c r="L5" s="11">
        <v>-127003</v>
      </c>
      <c r="M5" s="11">
        <v>-125453</v>
      </c>
      <c r="N5" s="11">
        <v>-126728</v>
      </c>
      <c r="O5" s="11">
        <f t="shared" ref="O5:T5" si="0">SUM(O6:O17)</f>
        <v>-156277</v>
      </c>
      <c r="P5" s="11">
        <f t="shared" si="0"/>
        <v>-129578</v>
      </c>
      <c r="Q5" s="11">
        <f t="shared" si="0"/>
        <v>-128507.80699000001</v>
      </c>
      <c r="R5" s="11">
        <f>SUM(R6:R17)</f>
        <v>-138822</v>
      </c>
      <c r="S5" s="11">
        <f t="shared" si="0"/>
        <v>-159123</v>
      </c>
      <c r="T5" s="11">
        <f t="shared" si="0"/>
        <v>-130260</v>
      </c>
      <c r="U5" s="11">
        <f>SUM(U6:U17)</f>
        <v>-141803</v>
      </c>
      <c r="V5" s="11">
        <f>SUM(V6:V17)</f>
        <v>-144484</v>
      </c>
      <c r="W5" s="11">
        <f>SUM(W6:W17)</f>
        <v>-178501</v>
      </c>
      <c r="X5" s="11">
        <f t="shared" ref="X5" si="1">SUM(X6:X17)</f>
        <v>-132271</v>
      </c>
      <c r="Y5" s="11">
        <f t="shared" ref="Y5:AJ5" si="2">SUM(Y6:Y17)</f>
        <v>-194858</v>
      </c>
      <c r="Z5" s="11">
        <f t="shared" si="2"/>
        <v>-203164</v>
      </c>
      <c r="AA5" s="11">
        <f t="shared" si="2"/>
        <v>-220814</v>
      </c>
      <c r="AB5" s="11">
        <f t="shared" si="2"/>
        <v>-143798</v>
      </c>
      <c r="AC5" s="11">
        <f t="shared" si="2"/>
        <v>-148796</v>
      </c>
      <c r="AD5" s="11">
        <f t="shared" si="2"/>
        <v>-172641</v>
      </c>
      <c r="AE5" s="11">
        <f t="shared" si="2"/>
        <v>-170286</v>
      </c>
      <c r="AF5" s="11">
        <f t="shared" si="2"/>
        <v>-123888</v>
      </c>
      <c r="AG5" s="11">
        <f t="shared" si="2"/>
        <v>-149841</v>
      </c>
      <c r="AH5" s="11">
        <f t="shared" si="2"/>
        <v>-181367</v>
      </c>
      <c r="AI5" s="11">
        <f t="shared" si="2"/>
        <v>-216692</v>
      </c>
      <c r="AJ5" s="11">
        <f t="shared" si="2"/>
        <v>-396710</v>
      </c>
      <c r="AK5" s="28"/>
    </row>
    <row r="6" spans="1:54" ht="12.5" thickBot="1">
      <c r="A6" s="115" t="s">
        <v>70</v>
      </c>
      <c r="B6" s="115" t="s">
        <v>159</v>
      </c>
      <c r="C6" s="11">
        <v>-15451</v>
      </c>
      <c r="D6" s="11">
        <v>-18967</v>
      </c>
      <c r="E6" s="11">
        <v>-14081</v>
      </c>
      <c r="F6" s="11">
        <v>-15194</v>
      </c>
      <c r="G6" s="11">
        <v>-15614</v>
      </c>
      <c r="H6" s="11">
        <v>-9533</v>
      </c>
      <c r="I6" s="11">
        <v>-7873</v>
      </c>
      <c r="J6" s="11">
        <v>-11396</v>
      </c>
      <c r="K6" s="11">
        <v>-8328</v>
      </c>
      <c r="L6" s="11">
        <v>-12703</v>
      </c>
      <c r="M6" s="11">
        <v>-13270</v>
      </c>
      <c r="N6" s="11">
        <v>-9961</v>
      </c>
      <c r="O6" s="11">
        <f t="shared" ref="O6:O17" si="3">+O27</f>
        <v>-6089</v>
      </c>
      <c r="P6" s="12">
        <f t="shared" ref="P6:R17" si="4">+P27-O27</f>
        <v>-15110</v>
      </c>
      <c r="Q6" s="12">
        <f t="shared" si="4"/>
        <v>-14870</v>
      </c>
      <c r="R6" s="12">
        <f t="shared" si="4"/>
        <v>-17894</v>
      </c>
      <c r="S6" s="12">
        <f t="shared" ref="S6:S17" si="5">+S27</f>
        <v>-7583</v>
      </c>
      <c r="T6" s="12">
        <f t="shared" ref="T6:V17" si="6">+T27-S27</f>
        <v>-16374</v>
      </c>
      <c r="U6" s="12">
        <f t="shared" si="6"/>
        <v>-14432</v>
      </c>
      <c r="V6" s="12">
        <f t="shared" si="6"/>
        <v>-19667</v>
      </c>
      <c r="W6" s="12">
        <f t="shared" ref="W6:W17" si="7">+W27</f>
        <v>-6795</v>
      </c>
      <c r="X6" s="12">
        <f t="shared" ref="X6:Z17" si="8">+X27-W27</f>
        <v>-20093</v>
      </c>
      <c r="Y6" s="12">
        <f t="shared" si="8"/>
        <v>-24835</v>
      </c>
      <c r="Z6" s="12">
        <f t="shared" si="8"/>
        <v>-29101</v>
      </c>
      <c r="AA6" s="12">
        <f t="shared" ref="AA6:AA17" si="9">+AA27</f>
        <v>-14101</v>
      </c>
      <c r="AB6" s="12">
        <f t="shared" ref="AB6:AD17" si="10">+AB27-AA27</f>
        <v>-15993</v>
      </c>
      <c r="AC6" s="12">
        <f t="shared" si="10"/>
        <v>-10742</v>
      </c>
      <c r="AD6" s="12">
        <f t="shared" si="10"/>
        <v>-20982</v>
      </c>
      <c r="AE6" s="12">
        <f t="shared" ref="AE6:AE17" si="11">+AE27</f>
        <v>-12767</v>
      </c>
      <c r="AF6" s="12">
        <f t="shared" ref="AF6:AH17" si="12">+AF27-AE27</f>
        <v>-14571</v>
      </c>
      <c r="AG6" s="12">
        <f t="shared" si="12"/>
        <v>-12851</v>
      </c>
      <c r="AH6" s="12">
        <f t="shared" si="12"/>
        <v>-24370</v>
      </c>
      <c r="AI6" s="12">
        <f t="shared" ref="AI6:AI17" si="13">+AI27</f>
        <v>-15320</v>
      </c>
      <c r="AJ6" s="12">
        <f t="shared" ref="AJ6:AJ17" si="14">+AJ27-AI27</f>
        <v>-19526</v>
      </c>
      <c r="AK6" s="28"/>
      <c r="AT6" s="28"/>
      <c r="AU6" s="28"/>
      <c r="AV6" s="28"/>
      <c r="AW6" s="28"/>
      <c r="AX6" s="28"/>
      <c r="AY6" s="28"/>
      <c r="AZ6" s="28"/>
      <c r="BA6" s="28"/>
      <c r="BB6" s="28"/>
    </row>
    <row r="7" spans="1:54" ht="12.5" thickBot="1">
      <c r="A7" s="115" t="s">
        <v>195</v>
      </c>
      <c r="B7" s="115" t="s">
        <v>194</v>
      </c>
      <c r="C7" s="11">
        <v>-18264.336810000001</v>
      </c>
      <c r="D7" s="11">
        <v>-17802.765090000001</v>
      </c>
      <c r="E7" s="11">
        <v>-17875.898099999999</v>
      </c>
      <c r="F7" s="11">
        <v>-16544</v>
      </c>
      <c r="G7" s="11">
        <v>-17403</v>
      </c>
      <c r="H7" s="11">
        <v>-17320</v>
      </c>
      <c r="I7" s="11">
        <v>-17670</v>
      </c>
      <c r="J7" s="11">
        <v>-17367</v>
      </c>
      <c r="K7" s="11">
        <v>-18217</v>
      </c>
      <c r="L7" s="11">
        <v>-18114</v>
      </c>
      <c r="M7" s="11">
        <v>-19002</v>
      </c>
      <c r="N7" s="11">
        <v>-19780</v>
      </c>
      <c r="O7" s="11">
        <f t="shared" si="3"/>
        <v>-18972</v>
      </c>
      <c r="P7" s="12">
        <f t="shared" si="4"/>
        <v>-19243</v>
      </c>
      <c r="Q7" s="12">
        <f t="shared" si="4"/>
        <v>-19583</v>
      </c>
      <c r="R7" s="12">
        <f t="shared" si="4"/>
        <v>-20252</v>
      </c>
      <c r="S7" s="12">
        <f t="shared" si="5"/>
        <v>-20701</v>
      </c>
      <c r="T7" s="12">
        <f t="shared" si="6"/>
        <v>-22862</v>
      </c>
      <c r="U7" s="12">
        <f t="shared" si="6"/>
        <v>-22435</v>
      </c>
      <c r="V7" s="12">
        <f t="shared" si="6"/>
        <v>-23579</v>
      </c>
      <c r="W7" s="12">
        <f t="shared" si="7"/>
        <v>-24258</v>
      </c>
      <c r="X7" s="12">
        <f t="shared" si="8"/>
        <v>-35617</v>
      </c>
      <c r="Y7" s="12">
        <f t="shared" si="8"/>
        <v>-48318</v>
      </c>
      <c r="Z7" s="12">
        <f t="shared" si="8"/>
        <v>-54012</v>
      </c>
      <c r="AA7" s="12">
        <f t="shared" si="9"/>
        <v>-34854</v>
      </c>
      <c r="AB7" s="12">
        <f t="shared" si="10"/>
        <v>-31186</v>
      </c>
      <c r="AC7" s="12">
        <f t="shared" si="10"/>
        <v>-31250</v>
      </c>
      <c r="AD7" s="12">
        <f t="shared" si="10"/>
        <v>-33699</v>
      </c>
      <c r="AE7" s="12">
        <f t="shared" si="11"/>
        <v>-29658</v>
      </c>
      <c r="AF7" s="12">
        <f t="shared" si="12"/>
        <v>-29879</v>
      </c>
      <c r="AG7" s="12">
        <f t="shared" si="12"/>
        <v>-34029</v>
      </c>
      <c r="AH7" s="12">
        <f t="shared" si="12"/>
        <v>-33365</v>
      </c>
      <c r="AI7" s="12">
        <f t="shared" si="13"/>
        <v>-31173</v>
      </c>
      <c r="AJ7" s="12">
        <f t="shared" si="14"/>
        <v>-33061</v>
      </c>
      <c r="AK7" s="28"/>
      <c r="AT7" s="28"/>
      <c r="AU7" s="28"/>
      <c r="AV7" s="28"/>
      <c r="AW7" s="28"/>
      <c r="AX7" s="28"/>
      <c r="AY7" s="28"/>
      <c r="AZ7" s="28"/>
      <c r="BA7" s="28"/>
      <c r="BB7" s="28"/>
    </row>
    <row r="8" spans="1:54" ht="12.5" thickBot="1">
      <c r="A8" s="115" t="s">
        <v>71</v>
      </c>
      <c r="B8" s="115" t="s">
        <v>160</v>
      </c>
      <c r="C8" s="11">
        <v>-45428</v>
      </c>
      <c r="D8" s="11">
        <v>-44579</v>
      </c>
      <c r="E8" s="11">
        <v>-44051</v>
      </c>
      <c r="F8" s="11">
        <v>-47705</v>
      </c>
      <c r="G8" s="11">
        <v>-43655</v>
      </c>
      <c r="H8" s="11">
        <v>-42936</v>
      </c>
      <c r="I8" s="11">
        <v>-43124</v>
      </c>
      <c r="J8" s="11">
        <v>-44710</v>
      </c>
      <c r="K8" s="11">
        <v>-44493</v>
      </c>
      <c r="L8" s="11">
        <v>-46431</v>
      </c>
      <c r="M8" s="11">
        <v>-41335</v>
      </c>
      <c r="N8" s="11">
        <v>-42630</v>
      </c>
      <c r="O8" s="11">
        <f t="shared" si="3"/>
        <v>-40960</v>
      </c>
      <c r="P8" s="12">
        <f t="shared" si="4"/>
        <v>-37763</v>
      </c>
      <c r="Q8" s="12">
        <f t="shared" si="4"/>
        <v>-39714</v>
      </c>
      <c r="R8" s="12">
        <f t="shared" si="4"/>
        <v>-38932</v>
      </c>
      <c r="S8" s="12">
        <f t="shared" si="5"/>
        <v>-36375</v>
      </c>
      <c r="T8" s="12">
        <f t="shared" si="6"/>
        <v>-37141</v>
      </c>
      <c r="U8" s="12">
        <f t="shared" si="6"/>
        <v>-36086</v>
      </c>
      <c r="V8" s="12">
        <f t="shared" si="6"/>
        <v>-36089</v>
      </c>
      <c r="W8" s="12">
        <f t="shared" si="7"/>
        <v>-18386</v>
      </c>
      <c r="X8" s="12">
        <f t="shared" si="8"/>
        <v>-18493</v>
      </c>
      <c r="Y8" s="12">
        <f t="shared" si="8"/>
        <v>-18609</v>
      </c>
      <c r="Z8" s="12">
        <f t="shared" si="8"/>
        <v>-15048</v>
      </c>
      <c r="AA8" s="12">
        <f t="shared" si="9"/>
        <v>-21081</v>
      </c>
      <c r="AB8" s="12">
        <f t="shared" si="10"/>
        <v>-19238</v>
      </c>
      <c r="AC8" s="12">
        <f t="shared" si="10"/>
        <v>-20543</v>
      </c>
      <c r="AD8" s="12">
        <f t="shared" si="10"/>
        <v>-17193</v>
      </c>
      <c r="AE8" s="12">
        <f t="shared" si="11"/>
        <v>-15907</v>
      </c>
      <c r="AF8" s="12">
        <f t="shared" si="12"/>
        <v>-12183</v>
      </c>
      <c r="AG8" s="12">
        <f t="shared" si="12"/>
        <v>-12861</v>
      </c>
      <c r="AH8" s="12">
        <f t="shared" si="12"/>
        <v>-13263</v>
      </c>
      <c r="AI8" s="12">
        <f t="shared" si="13"/>
        <v>-12511</v>
      </c>
      <c r="AJ8" s="12">
        <f t="shared" si="14"/>
        <v>-12189</v>
      </c>
      <c r="AK8" s="28"/>
      <c r="AT8" s="28"/>
      <c r="AU8" s="28"/>
      <c r="AV8" s="28"/>
      <c r="AW8" s="28"/>
      <c r="AX8" s="28"/>
      <c r="AY8" s="28"/>
      <c r="AZ8" s="28"/>
      <c r="BA8" s="28"/>
      <c r="BB8" s="28"/>
    </row>
    <row r="9" spans="1:54" ht="24.5" thickBot="1">
      <c r="A9" s="115" t="s">
        <v>72</v>
      </c>
      <c r="B9" s="115" t="s">
        <v>161</v>
      </c>
      <c r="C9" s="11">
        <v>-6054</v>
      </c>
      <c r="D9" s="11">
        <v>-6654</v>
      </c>
      <c r="E9" s="11">
        <v>-6394</v>
      </c>
      <c r="F9" s="11">
        <v>-6247</v>
      </c>
      <c r="G9" s="11">
        <v>-6703</v>
      </c>
      <c r="H9" s="11">
        <v>-6944</v>
      </c>
      <c r="I9" s="11">
        <v>-6576</v>
      </c>
      <c r="J9" s="11">
        <v>-6691</v>
      </c>
      <c r="K9" s="11">
        <v>-6477</v>
      </c>
      <c r="L9" s="11">
        <v>-6518</v>
      </c>
      <c r="M9" s="11">
        <v>-6729</v>
      </c>
      <c r="N9" s="11">
        <v>-5949</v>
      </c>
      <c r="O9" s="11">
        <f t="shared" si="3"/>
        <v>-6213</v>
      </c>
      <c r="P9" s="12">
        <f t="shared" si="4"/>
        <v>-6525</v>
      </c>
      <c r="Q9" s="12">
        <f t="shared" si="4"/>
        <v>-6380</v>
      </c>
      <c r="R9" s="12">
        <f t="shared" si="4"/>
        <v>-6682</v>
      </c>
      <c r="S9" s="12">
        <f t="shared" si="5"/>
        <v>-6590</v>
      </c>
      <c r="T9" s="12">
        <f t="shared" si="6"/>
        <v>-6677</v>
      </c>
      <c r="U9" s="12">
        <f t="shared" si="6"/>
        <v>-6924</v>
      </c>
      <c r="V9" s="12">
        <f t="shared" si="6"/>
        <v>-7817</v>
      </c>
      <c r="W9" s="12">
        <f t="shared" si="7"/>
        <v>-8627</v>
      </c>
      <c r="X9" s="12">
        <f t="shared" si="8"/>
        <v>-10122</v>
      </c>
      <c r="Y9" s="12">
        <f t="shared" si="8"/>
        <v>-11510</v>
      </c>
      <c r="Z9" s="12">
        <f t="shared" si="8"/>
        <v>-14914</v>
      </c>
      <c r="AA9" s="12">
        <f t="shared" si="9"/>
        <v>-13846</v>
      </c>
      <c r="AB9" s="12">
        <f t="shared" si="10"/>
        <v>-14564</v>
      </c>
      <c r="AC9" s="12">
        <f t="shared" si="10"/>
        <v>-10683</v>
      </c>
      <c r="AD9" s="12">
        <f t="shared" si="10"/>
        <v>-10542</v>
      </c>
      <c r="AE9" s="12">
        <f t="shared" si="11"/>
        <v>-10248</v>
      </c>
      <c r="AF9" s="12">
        <f t="shared" si="12"/>
        <v>-10023</v>
      </c>
      <c r="AG9" s="12">
        <f t="shared" si="12"/>
        <v>-9757</v>
      </c>
      <c r="AH9" s="12">
        <f t="shared" si="12"/>
        <v>-10682</v>
      </c>
      <c r="AI9" s="12">
        <f t="shared" si="13"/>
        <v>-10336</v>
      </c>
      <c r="AJ9" s="12">
        <f t="shared" si="14"/>
        <v>-10487</v>
      </c>
      <c r="AK9" s="28"/>
      <c r="AT9" s="28"/>
      <c r="AU9" s="28"/>
      <c r="AV9" s="28"/>
      <c r="AW9" s="28"/>
      <c r="AX9" s="28"/>
      <c r="AY9" s="28"/>
      <c r="AZ9" s="28"/>
      <c r="BA9" s="28"/>
      <c r="BB9" s="28"/>
    </row>
    <row r="10" spans="1:54" ht="12.5" thickBot="1">
      <c r="A10" s="115" t="s">
        <v>73</v>
      </c>
      <c r="B10" s="115" t="s">
        <v>162</v>
      </c>
      <c r="C10" s="11">
        <v>-4003</v>
      </c>
      <c r="D10" s="11">
        <v>-4328</v>
      </c>
      <c r="E10" s="11">
        <v>-4210</v>
      </c>
      <c r="F10" s="11">
        <v>-4127</v>
      </c>
      <c r="G10" s="11">
        <v>-4070</v>
      </c>
      <c r="H10" s="11">
        <v>-4022</v>
      </c>
      <c r="I10" s="11">
        <v>-4350</v>
      </c>
      <c r="J10" s="11">
        <v>-4059</v>
      </c>
      <c r="K10" s="11">
        <v>-4022</v>
      </c>
      <c r="L10" s="11">
        <v>-4220</v>
      </c>
      <c r="M10" s="11">
        <v>-4286</v>
      </c>
      <c r="N10" s="11">
        <v>-3983</v>
      </c>
      <c r="O10" s="11">
        <f t="shared" si="3"/>
        <v>-4360</v>
      </c>
      <c r="P10" s="12">
        <f t="shared" si="4"/>
        <v>-4185</v>
      </c>
      <c r="Q10" s="12">
        <f t="shared" si="4"/>
        <v>-4465</v>
      </c>
      <c r="R10" s="12">
        <f t="shared" si="4"/>
        <v>-4541</v>
      </c>
      <c r="S10" s="12">
        <f t="shared" si="5"/>
        <v>-4652</v>
      </c>
      <c r="T10" s="12">
        <f t="shared" si="6"/>
        <v>-4839</v>
      </c>
      <c r="U10" s="12">
        <f t="shared" si="6"/>
        <v>-4935</v>
      </c>
      <c r="V10" s="12">
        <f t="shared" si="6"/>
        <v>-5236</v>
      </c>
      <c r="W10" s="12">
        <f t="shared" si="7"/>
        <v>-4957</v>
      </c>
      <c r="X10" s="12">
        <f t="shared" si="8"/>
        <v>-5347</v>
      </c>
      <c r="Y10" s="12">
        <f t="shared" si="8"/>
        <v>-5185</v>
      </c>
      <c r="Z10" s="12">
        <f t="shared" si="8"/>
        <v>-5738</v>
      </c>
      <c r="AA10" s="12">
        <f t="shared" si="9"/>
        <v>-7541</v>
      </c>
      <c r="AB10" s="12">
        <f t="shared" si="10"/>
        <v>-6932</v>
      </c>
      <c r="AC10" s="12">
        <f t="shared" si="10"/>
        <v>-6251</v>
      </c>
      <c r="AD10" s="12">
        <f t="shared" si="10"/>
        <v>-6598</v>
      </c>
      <c r="AE10" s="12">
        <f t="shared" si="11"/>
        <v>-6322</v>
      </c>
      <c r="AF10" s="12">
        <f t="shared" si="12"/>
        <v>-6770</v>
      </c>
      <c r="AG10" s="12">
        <f t="shared" si="12"/>
        <v>-7405</v>
      </c>
      <c r="AH10" s="12">
        <f t="shared" si="12"/>
        <v>-7039</v>
      </c>
      <c r="AI10" s="12">
        <f t="shared" si="13"/>
        <v>-7161</v>
      </c>
      <c r="AJ10" s="12">
        <f t="shared" si="14"/>
        <v>-8451</v>
      </c>
      <c r="AK10" s="28"/>
      <c r="AT10" s="28"/>
      <c r="AV10" s="28"/>
      <c r="AW10" s="28"/>
      <c r="AX10" s="28"/>
      <c r="AY10" s="28"/>
      <c r="AZ10" s="28"/>
      <c r="BA10" s="28"/>
      <c r="BB10" s="28"/>
    </row>
    <row r="11" spans="1:54" ht="24.5" thickBot="1">
      <c r="A11" s="115" t="s">
        <v>74</v>
      </c>
      <c r="B11" s="115" t="s">
        <v>163</v>
      </c>
      <c r="C11" s="11">
        <v>-6232</v>
      </c>
      <c r="D11" s="11">
        <v>-5425</v>
      </c>
      <c r="E11" s="11">
        <v>-10031</v>
      </c>
      <c r="F11" s="11">
        <v>-2349</v>
      </c>
      <c r="G11" s="11">
        <v>-1804</v>
      </c>
      <c r="H11" s="11">
        <v>-3291</v>
      </c>
      <c r="I11" s="11">
        <v>-3581</v>
      </c>
      <c r="J11" s="11">
        <v>-3245</v>
      </c>
      <c r="K11" s="11">
        <v>-3751</v>
      </c>
      <c r="L11" s="11">
        <v>-4742</v>
      </c>
      <c r="M11" s="11">
        <v>-7097</v>
      </c>
      <c r="N11" s="11">
        <v>-6401</v>
      </c>
      <c r="O11" s="11">
        <f t="shared" si="3"/>
        <v>-5139</v>
      </c>
      <c r="P11" s="12">
        <f t="shared" si="4"/>
        <v>-7658</v>
      </c>
      <c r="Q11" s="12">
        <f t="shared" si="4"/>
        <v>-9701</v>
      </c>
      <c r="R11" s="12">
        <f t="shared" si="4"/>
        <v>-12691</v>
      </c>
      <c r="S11" s="12">
        <f t="shared" si="5"/>
        <v>-4641</v>
      </c>
      <c r="T11" s="12">
        <f t="shared" si="6"/>
        <v>-8810</v>
      </c>
      <c r="U11" s="12">
        <f t="shared" si="6"/>
        <v>-10538</v>
      </c>
      <c r="V11" s="12">
        <f t="shared" si="6"/>
        <v>-4863</v>
      </c>
      <c r="W11" s="12">
        <f t="shared" si="7"/>
        <v>-5719</v>
      </c>
      <c r="X11" s="12">
        <f t="shared" si="8"/>
        <v>-14043</v>
      </c>
      <c r="Y11" s="12">
        <f t="shared" si="8"/>
        <v>-29301</v>
      </c>
      <c r="Z11" s="12">
        <f t="shared" si="8"/>
        <v>-22444</v>
      </c>
      <c r="AA11" s="12">
        <f t="shared" si="9"/>
        <v>-5583</v>
      </c>
      <c r="AB11" s="12">
        <f t="shared" si="10"/>
        <v>-9540</v>
      </c>
      <c r="AC11" s="12">
        <f t="shared" si="10"/>
        <v>-6240</v>
      </c>
      <c r="AD11" s="12">
        <f t="shared" si="10"/>
        <v>-16408</v>
      </c>
      <c r="AE11" s="12">
        <f t="shared" si="11"/>
        <v>-11230</v>
      </c>
      <c r="AF11" s="12">
        <f t="shared" si="12"/>
        <v>-14490</v>
      </c>
      <c r="AG11" s="12">
        <f t="shared" si="12"/>
        <v>-17512</v>
      </c>
      <c r="AH11" s="12">
        <f t="shared" si="12"/>
        <v>-33872</v>
      </c>
      <c r="AI11" s="12">
        <f t="shared" si="13"/>
        <v>-17153</v>
      </c>
      <c r="AJ11" s="12">
        <f t="shared" si="14"/>
        <v>-19255</v>
      </c>
      <c r="AK11" s="28"/>
    </row>
    <row r="12" spans="1:54" ht="12.5" thickBot="1">
      <c r="A12" s="115" t="s">
        <v>75</v>
      </c>
      <c r="B12" s="115" t="s">
        <v>164</v>
      </c>
      <c r="C12" s="11">
        <v>-4076</v>
      </c>
      <c r="D12" s="11">
        <v>-4158</v>
      </c>
      <c r="E12" s="11">
        <v>-4447</v>
      </c>
      <c r="F12" s="11">
        <v>-5337</v>
      </c>
      <c r="G12" s="11">
        <v>-3984</v>
      </c>
      <c r="H12" s="11">
        <v>-4047</v>
      </c>
      <c r="I12" s="11">
        <v>-3121</v>
      </c>
      <c r="J12" s="11">
        <v>-4704</v>
      </c>
      <c r="K12" s="11">
        <v>-4118</v>
      </c>
      <c r="L12" s="11">
        <v>-4288</v>
      </c>
      <c r="M12" s="11">
        <v>-3875</v>
      </c>
      <c r="N12" s="11">
        <v>-4762</v>
      </c>
      <c r="O12" s="11">
        <f t="shared" si="3"/>
        <v>-4098</v>
      </c>
      <c r="P12" s="12">
        <f t="shared" si="4"/>
        <v>-4329</v>
      </c>
      <c r="Q12" s="12">
        <f t="shared" si="4"/>
        <v>-4560</v>
      </c>
      <c r="R12" s="12">
        <f t="shared" si="4"/>
        <v>-4334</v>
      </c>
      <c r="S12" s="12">
        <f t="shared" si="5"/>
        <v>-5092</v>
      </c>
      <c r="T12" s="12">
        <f t="shared" si="6"/>
        <v>-5923</v>
      </c>
      <c r="U12" s="12">
        <f t="shared" si="6"/>
        <v>-5923</v>
      </c>
      <c r="V12" s="12">
        <f t="shared" si="6"/>
        <v>-6323</v>
      </c>
      <c r="W12" s="12">
        <f t="shared" si="7"/>
        <v>-6111</v>
      </c>
      <c r="X12" s="12">
        <f t="shared" si="8"/>
        <v>-7292</v>
      </c>
      <c r="Y12" s="12">
        <f t="shared" si="8"/>
        <v>-8941</v>
      </c>
      <c r="Z12" s="12">
        <f t="shared" si="8"/>
        <v>-9019</v>
      </c>
      <c r="AA12" s="12">
        <f t="shared" si="9"/>
        <v>-8615</v>
      </c>
      <c r="AB12" s="12">
        <f t="shared" si="10"/>
        <v>-8509</v>
      </c>
      <c r="AC12" s="12">
        <f t="shared" si="10"/>
        <v>-7353</v>
      </c>
      <c r="AD12" s="12">
        <f t="shared" si="10"/>
        <v>-10061</v>
      </c>
      <c r="AE12" s="12">
        <f t="shared" si="11"/>
        <v>-8468</v>
      </c>
      <c r="AF12" s="12">
        <f t="shared" si="12"/>
        <v>-9310</v>
      </c>
      <c r="AG12" s="12">
        <f t="shared" si="12"/>
        <v>-8146</v>
      </c>
      <c r="AH12" s="12">
        <f t="shared" si="12"/>
        <v>-8013</v>
      </c>
      <c r="AI12" s="12">
        <f t="shared" si="13"/>
        <v>-8553</v>
      </c>
      <c r="AJ12" s="12">
        <f t="shared" si="14"/>
        <v>-10201</v>
      </c>
      <c r="AK12" s="28"/>
      <c r="AT12" s="28"/>
      <c r="AU12" s="28"/>
      <c r="AV12" s="28"/>
      <c r="AW12" s="28"/>
      <c r="AX12" s="28"/>
      <c r="AY12" s="28"/>
      <c r="AZ12" s="28"/>
      <c r="BA12" s="28"/>
      <c r="BB12" s="28"/>
    </row>
    <row r="13" spans="1:54" ht="12.5" thickBot="1">
      <c r="A13" s="115" t="s">
        <v>76</v>
      </c>
      <c r="B13" s="115" t="s">
        <v>165</v>
      </c>
      <c r="C13" s="11">
        <v>-960</v>
      </c>
      <c r="D13" s="11">
        <v>-1067</v>
      </c>
      <c r="E13" s="11">
        <v>-969</v>
      </c>
      <c r="F13" s="11">
        <v>-1020</v>
      </c>
      <c r="G13" s="11">
        <v>-969</v>
      </c>
      <c r="H13" s="11">
        <v>-1014</v>
      </c>
      <c r="I13" s="11">
        <v>-1023</v>
      </c>
      <c r="J13" s="11">
        <v>-1086</v>
      </c>
      <c r="K13" s="11">
        <v>-1033</v>
      </c>
      <c r="L13" s="11">
        <v>-1108</v>
      </c>
      <c r="M13" s="11">
        <v>-1144</v>
      </c>
      <c r="N13" s="11">
        <v>-1310</v>
      </c>
      <c r="O13" s="11">
        <f t="shared" si="3"/>
        <v>-1155</v>
      </c>
      <c r="P13" s="12">
        <f t="shared" si="4"/>
        <v>-1180</v>
      </c>
      <c r="Q13" s="12">
        <f t="shared" si="4"/>
        <v>-1211</v>
      </c>
      <c r="R13" s="12">
        <f t="shared" si="4"/>
        <v>-1230</v>
      </c>
      <c r="S13" s="12">
        <f t="shared" si="5"/>
        <v>-1294</v>
      </c>
      <c r="T13" s="12">
        <f t="shared" si="6"/>
        <v>-1380</v>
      </c>
      <c r="U13" s="12">
        <f t="shared" si="6"/>
        <v>-1413</v>
      </c>
      <c r="V13" s="12">
        <f t="shared" si="6"/>
        <v>-1502</v>
      </c>
      <c r="W13" s="12">
        <f t="shared" si="7"/>
        <v>-1377</v>
      </c>
      <c r="X13" s="12">
        <f t="shared" si="8"/>
        <v>-1848</v>
      </c>
      <c r="Y13" s="12">
        <f t="shared" si="8"/>
        <v>-2086</v>
      </c>
      <c r="Z13" s="12">
        <f t="shared" si="8"/>
        <v>-1932</v>
      </c>
      <c r="AA13" s="12">
        <f t="shared" si="9"/>
        <v>-1970</v>
      </c>
      <c r="AB13" s="12">
        <f t="shared" si="10"/>
        <v>-1912</v>
      </c>
      <c r="AC13" s="12">
        <f t="shared" si="10"/>
        <v>-1908</v>
      </c>
      <c r="AD13" s="12">
        <f t="shared" si="10"/>
        <v>-2232</v>
      </c>
      <c r="AE13" s="12">
        <f t="shared" si="11"/>
        <v>-2147</v>
      </c>
      <c r="AF13" s="12">
        <f t="shared" si="12"/>
        <v>-2292</v>
      </c>
      <c r="AG13" s="12">
        <f t="shared" si="12"/>
        <v>-2387</v>
      </c>
      <c r="AH13" s="12">
        <f t="shared" si="12"/>
        <v>-2499</v>
      </c>
      <c r="AI13" s="12">
        <f t="shared" si="13"/>
        <v>-2678</v>
      </c>
      <c r="AJ13" s="12">
        <f t="shared" si="14"/>
        <v>-2825</v>
      </c>
      <c r="AK13" s="28"/>
      <c r="AT13" s="28"/>
      <c r="AU13" s="28"/>
      <c r="AV13" s="28"/>
      <c r="AW13" s="28"/>
      <c r="AX13" s="28"/>
      <c r="AY13" s="28"/>
      <c r="AZ13" s="28"/>
      <c r="BA13" s="28"/>
      <c r="BB13" s="28"/>
    </row>
    <row r="14" spans="1:54" ht="12.5" thickBot="1">
      <c r="A14" s="115" t="s">
        <v>77</v>
      </c>
      <c r="B14" s="115" t="s">
        <v>166</v>
      </c>
      <c r="C14" s="11">
        <v>-1372</v>
      </c>
      <c r="D14" s="11">
        <v>-1424</v>
      </c>
      <c r="E14" s="11">
        <v>-1274</v>
      </c>
      <c r="F14" s="11">
        <v>-1182</v>
      </c>
      <c r="G14" s="11">
        <v>-1186</v>
      </c>
      <c r="H14" s="11">
        <v>-1320</v>
      </c>
      <c r="I14" s="11">
        <v>-1231</v>
      </c>
      <c r="J14" s="11">
        <v>-1271</v>
      </c>
      <c r="K14" s="11">
        <v>-1243</v>
      </c>
      <c r="L14" s="11">
        <v>-1194</v>
      </c>
      <c r="M14" s="11">
        <v>-1249</v>
      </c>
      <c r="N14" s="11">
        <v>-1144</v>
      </c>
      <c r="O14" s="11">
        <f t="shared" si="3"/>
        <v>-1393</v>
      </c>
      <c r="P14" s="12">
        <f t="shared" si="4"/>
        <v>-1154</v>
      </c>
      <c r="Q14" s="12">
        <f t="shared" si="4"/>
        <v>-1021</v>
      </c>
      <c r="R14" s="12">
        <f t="shared" si="4"/>
        <v>-1095</v>
      </c>
      <c r="S14" s="12">
        <f t="shared" si="5"/>
        <v>-1126</v>
      </c>
      <c r="T14" s="12">
        <f t="shared" si="6"/>
        <v>-1269</v>
      </c>
      <c r="U14" s="12">
        <f t="shared" si="6"/>
        <v>-1278</v>
      </c>
      <c r="V14" s="12">
        <f t="shared" si="6"/>
        <v>-1286</v>
      </c>
      <c r="W14" s="12">
        <f t="shared" si="7"/>
        <v>-1401</v>
      </c>
      <c r="X14" s="12">
        <f t="shared" si="8"/>
        <v>-1656</v>
      </c>
      <c r="Y14" s="12">
        <f t="shared" si="8"/>
        <v>-2183</v>
      </c>
      <c r="Z14" s="12">
        <f t="shared" si="8"/>
        <v>-2157</v>
      </c>
      <c r="AA14" s="12">
        <f t="shared" si="9"/>
        <v>-2158</v>
      </c>
      <c r="AB14" s="12">
        <f t="shared" si="10"/>
        <v>-2220</v>
      </c>
      <c r="AC14" s="12">
        <f t="shared" si="10"/>
        <v>-2109</v>
      </c>
      <c r="AD14" s="12">
        <f t="shared" si="10"/>
        <v>-1696</v>
      </c>
      <c r="AE14" s="12">
        <f t="shared" si="11"/>
        <v>-1832</v>
      </c>
      <c r="AF14" s="12">
        <f t="shared" si="12"/>
        <v>-1736</v>
      </c>
      <c r="AG14" s="12">
        <f t="shared" si="12"/>
        <v>-1802</v>
      </c>
      <c r="AH14" s="12">
        <f t="shared" si="12"/>
        <v>-1777</v>
      </c>
      <c r="AI14" s="12">
        <f t="shared" si="13"/>
        <v>-836</v>
      </c>
      <c r="AJ14" s="12">
        <f t="shared" si="14"/>
        <v>-1785</v>
      </c>
      <c r="AK14" s="28"/>
      <c r="AT14" s="28"/>
      <c r="AU14" s="28"/>
      <c r="AV14" s="28"/>
      <c r="AW14" s="28"/>
      <c r="AX14" s="28"/>
      <c r="AY14" s="28"/>
      <c r="AZ14" s="28"/>
      <c r="BA14" s="28"/>
      <c r="BB14" s="28"/>
    </row>
    <row r="15" spans="1:54" ht="12.5" thickBot="1">
      <c r="A15" s="115" t="s">
        <v>78</v>
      </c>
      <c r="B15" s="115" t="s">
        <v>277</v>
      </c>
      <c r="C15" s="11">
        <v>-8901</v>
      </c>
      <c r="D15" s="11">
        <v>-8901</v>
      </c>
      <c r="E15" s="11">
        <v>-8901</v>
      </c>
      <c r="F15" s="11">
        <v>-8901</v>
      </c>
      <c r="G15" s="11">
        <v>-16365</v>
      </c>
      <c r="H15" s="11">
        <v>-16365</v>
      </c>
      <c r="I15" s="11">
        <v>-16364</v>
      </c>
      <c r="J15" s="11">
        <v>-16365</v>
      </c>
      <c r="K15" s="11">
        <v>-15346</v>
      </c>
      <c r="L15" s="11">
        <v>-15214</v>
      </c>
      <c r="M15" s="11">
        <v>-15345</v>
      </c>
      <c r="N15" s="11">
        <v>-15016</v>
      </c>
      <c r="O15" s="11">
        <f t="shared" si="3"/>
        <v>-57069</v>
      </c>
      <c r="P15" s="12">
        <f t="shared" si="4"/>
        <v>-15871</v>
      </c>
      <c r="Q15" s="12">
        <f t="shared" si="4"/>
        <v>-13236.806990000012</v>
      </c>
      <c r="R15" s="12">
        <f t="shared" si="4"/>
        <v>-13122</v>
      </c>
      <c r="S15" s="12">
        <f t="shared" si="5"/>
        <v>-54704</v>
      </c>
      <c r="T15" s="12">
        <f t="shared" si="6"/>
        <v>-14919</v>
      </c>
      <c r="U15" s="12">
        <f t="shared" si="6"/>
        <v>-17822</v>
      </c>
      <c r="V15" s="12">
        <f t="shared" si="6"/>
        <v>-18057</v>
      </c>
      <c r="W15" s="12">
        <f t="shared" si="7"/>
        <v>-84022</v>
      </c>
      <c r="X15" s="12">
        <f t="shared" si="8"/>
        <v>-12028</v>
      </c>
      <c r="Y15" s="12">
        <f t="shared" si="8"/>
        <v>-13530</v>
      </c>
      <c r="Z15" s="12">
        <f t="shared" si="8"/>
        <v>-13888</v>
      </c>
      <c r="AA15" s="12">
        <f t="shared" si="9"/>
        <v>-85075</v>
      </c>
      <c r="AB15" s="12">
        <f t="shared" si="10"/>
        <v>-27991</v>
      </c>
      <c r="AC15" s="12">
        <f t="shared" si="10"/>
        <v>-27323</v>
      </c>
      <c r="AD15" s="12">
        <f t="shared" si="10"/>
        <v>-26801</v>
      </c>
      <c r="AE15" s="12">
        <f t="shared" si="11"/>
        <v>-53136</v>
      </c>
      <c r="AF15" s="12">
        <f t="shared" si="12"/>
        <v>-30183</v>
      </c>
      <c r="AG15" s="12">
        <f t="shared" si="12"/>
        <v>-17406</v>
      </c>
      <c r="AH15" s="12">
        <f t="shared" si="12"/>
        <v>-17492</v>
      </c>
      <c r="AI15" s="12">
        <f t="shared" si="13"/>
        <v>-85847</v>
      </c>
      <c r="AJ15" s="306">
        <f t="shared" si="14"/>
        <v>-286530</v>
      </c>
      <c r="AT15" s="28"/>
      <c r="AU15" s="28"/>
      <c r="AV15" s="28"/>
      <c r="AW15" s="28"/>
      <c r="AX15" s="28"/>
      <c r="AY15" s="28"/>
      <c r="AZ15" s="28"/>
      <c r="BA15" s="28"/>
      <c r="BB15" s="28"/>
    </row>
    <row r="16" spans="1:54" ht="12.5" thickBot="1">
      <c r="A16" s="115" t="s">
        <v>79</v>
      </c>
      <c r="B16" s="115" t="s">
        <v>167</v>
      </c>
      <c r="C16" s="11">
        <v>-1574</v>
      </c>
      <c r="D16" s="11">
        <v>-1098</v>
      </c>
      <c r="E16" s="11">
        <v>-1017</v>
      </c>
      <c r="F16" s="11">
        <v>-662</v>
      </c>
      <c r="G16" s="11">
        <v>-841</v>
      </c>
      <c r="H16" s="11">
        <v>-837</v>
      </c>
      <c r="I16" s="11">
        <v>-1205</v>
      </c>
      <c r="J16" s="11">
        <v>-1695</v>
      </c>
      <c r="K16" s="11">
        <v>-1340</v>
      </c>
      <c r="L16" s="11">
        <v>-1339</v>
      </c>
      <c r="M16" s="11">
        <v>-1261</v>
      </c>
      <c r="N16" s="11">
        <v>-742</v>
      </c>
      <c r="O16" s="11">
        <f t="shared" si="3"/>
        <v>-1257</v>
      </c>
      <c r="P16" s="12">
        <f t="shared" si="4"/>
        <v>-1281</v>
      </c>
      <c r="Q16" s="12">
        <f t="shared" si="4"/>
        <v>782</v>
      </c>
      <c r="R16" s="12">
        <f t="shared" si="4"/>
        <v>-619</v>
      </c>
      <c r="S16" s="12">
        <f t="shared" si="5"/>
        <v>-1337</v>
      </c>
      <c r="T16" s="12">
        <f t="shared" si="6"/>
        <v>-1350</v>
      </c>
      <c r="U16" s="12">
        <f t="shared" si="6"/>
        <v>-2612</v>
      </c>
      <c r="V16" s="12">
        <f t="shared" si="6"/>
        <v>-1625</v>
      </c>
      <c r="W16" s="12">
        <f t="shared" si="7"/>
        <v>-1621</v>
      </c>
      <c r="X16" s="12">
        <f t="shared" si="8"/>
        <v>-1772</v>
      </c>
      <c r="Y16" s="12">
        <f t="shared" si="8"/>
        <v>-4090</v>
      </c>
      <c r="Z16" s="12">
        <f t="shared" si="8"/>
        <v>-2867</v>
      </c>
      <c r="AA16" s="12">
        <f t="shared" si="9"/>
        <v>-2501</v>
      </c>
      <c r="AB16" s="12">
        <f t="shared" si="10"/>
        <v>-2722</v>
      </c>
      <c r="AC16" s="12">
        <f t="shared" si="10"/>
        <v>-2481</v>
      </c>
      <c r="AD16" s="12">
        <f t="shared" si="10"/>
        <v>-2579</v>
      </c>
      <c r="AE16" s="12">
        <f t="shared" si="11"/>
        <v>-3166</v>
      </c>
      <c r="AF16" s="12">
        <f t="shared" si="12"/>
        <v>-3180</v>
      </c>
      <c r="AG16" s="12">
        <f t="shared" si="12"/>
        <v>-3350</v>
      </c>
      <c r="AH16" s="12">
        <f t="shared" si="12"/>
        <v>-3080</v>
      </c>
      <c r="AI16" s="12">
        <f t="shared" si="13"/>
        <v>-3109</v>
      </c>
      <c r="AJ16" s="12">
        <f t="shared" si="14"/>
        <v>-3143</v>
      </c>
      <c r="AT16" s="28"/>
      <c r="AU16" s="28"/>
      <c r="AV16" s="28"/>
      <c r="AW16" s="28"/>
      <c r="AX16" s="28"/>
      <c r="AY16" s="28"/>
      <c r="AZ16" s="28"/>
      <c r="BA16" s="28"/>
      <c r="BB16" s="28"/>
    </row>
    <row r="17" spans="1:59" ht="12.5" thickBot="1">
      <c r="A17" s="115" t="s">
        <v>67</v>
      </c>
      <c r="B17" s="115" t="s">
        <v>168</v>
      </c>
      <c r="C17" s="11">
        <v>-13739.663189999999</v>
      </c>
      <c r="D17" s="11">
        <v>-17074.234909999999</v>
      </c>
      <c r="E17" s="11">
        <v>-12054.101900000001</v>
      </c>
      <c r="F17" s="11">
        <v>-16933</v>
      </c>
      <c r="G17" s="11">
        <v>-11665</v>
      </c>
      <c r="H17" s="11">
        <v>-14179</v>
      </c>
      <c r="I17" s="11">
        <v>-11382</v>
      </c>
      <c r="J17" s="11">
        <v>-13553</v>
      </c>
      <c r="K17" s="11">
        <v>-11156</v>
      </c>
      <c r="L17" s="11">
        <v>-11132</v>
      </c>
      <c r="M17" s="11">
        <v>-10860</v>
      </c>
      <c r="N17" s="11">
        <v>-15050</v>
      </c>
      <c r="O17" s="11">
        <f t="shared" si="3"/>
        <v>-9572</v>
      </c>
      <c r="P17" s="12">
        <f t="shared" si="4"/>
        <v>-15279</v>
      </c>
      <c r="Q17" s="12">
        <f t="shared" si="4"/>
        <v>-14548</v>
      </c>
      <c r="R17" s="12">
        <f t="shared" si="4"/>
        <v>-17430</v>
      </c>
      <c r="S17" s="12">
        <f t="shared" si="5"/>
        <v>-15028</v>
      </c>
      <c r="T17" s="12">
        <f t="shared" si="6"/>
        <v>-8716</v>
      </c>
      <c r="U17" s="12">
        <f t="shared" si="6"/>
        <v>-17405</v>
      </c>
      <c r="V17" s="12">
        <f t="shared" si="6"/>
        <v>-18440</v>
      </c>
      <c r="W17" s="12">
        <f t="shared" si="7"/>
        <v>-15227</v>
      </c>
      <c r="X17" s="12">
        <f t="shared" si="8"/>
        <v>-3960</v>
      </c>
      <c r="Y17" s="12">
        <f t="shared" si="8"/>
        <v>-26270</v>
      </c>
      <c r="Z17" s="12">
        <f t="shared" si="8"/>
        <v>-32044</v>
      </c>
      <c r="AA17" s="12">
        <f t="shared" si="9"/>
        <v>-23489</v>
      </c>
      <c r="AB17" s="12">
        <f t="shared" si="10"/>
        <v>-2991</v>
      </c>
      <c r="AC17" s="12">
        <f t="shared" si="10"/>
        <v>-21913</v>
      </c>
      <c r="AD17" s="12">
        <f t="shared" si="10"/>
        <v>-23850</v>
      </c>
      <c r="AE17" s="12">
        <f t="shared" si="11"/>
        <v>-15405</v>
      </c>
      <c r="AF17" s="12">
        <f t="shared" si="12"/>
        <v>10729</v>
      </c>
      <c r="AG17" s="12">
        <f t="shared" si="12"/>
        <v>-22335</v>
      </c>
      <c r="AH17" s="12">
        <f t="shared" si="12"/>
        <v>-25915</v>
      </c>
      <c r="AI17" s="12">
        <f t="shared" si="13"/>
        <v>-22015</v>
      </c>
      <c r="AJ17" s="12">
        <f t="shared" si="14"/>
        <v>10743</v>
      </c>
      <c r="AT17" s="28"/>
      <c r="AU17" s="28"/>
      <c r="AV17" s="28"/>
      <c r="AW17" s="28"/>
      <c r="AX17" s="28"/>
      <c r="AY17" s="28"/>
      <c r="AZ17" s="28"/>
      <c r="BA17" s="28"/>
      <c r="BB17" s="28"/>
    </row>
    <row r="18" spans="1:59" ht="12.5" thickBot="1">
      <c r="A18" s="106" t="s">
        <v>68</v>
      </c>
      <c r="B18" s="106" t="s">
        <v>156</v>
      </c>
      <c r="C18" s="3">
        <v>-261161</v>
      </c>
      <c r="D18" s="3">
        <v>-266393</v>
      </c>
      <c r="E18" s="3">
        <v>-264933</v>
      </c>
      <c r="F18" s="3">
        <v>-263566</v>
      </c>
      <c r="G18" s="3">
        <v>-262514</v>
      </c>
      <c r="H18" s="3">
        <v>-258716</v>
      </c>
      <c r="I18" s="3">
        <v>-253399</v>
      </c>
      <c r="J18" s="3">
        <v>-261985</v>
      </c>
      <c r="K18" s="3">
        <v>-258360</v>
      </c>
      <c r="L18" s="3">
        <v>-266081</v>
      </c>
      <c r="M18" s="3">
        <v>-264776</v>
      </c>
      <c r="N18" s="3">
        <v>-268249</v>
      </c>
      <c r="O18" s="3">
        <f t="shared" ref="O18:T18" si="15">SUM(O4:O5)</f>
        <v>-301331</v>
      </c>
      <c r="P18" s="3">
        <f t="shared" si="15"/>
        <v>-279478</v>
      </c>
      <c r="Q18" s="3">
        <f t="shared" si="15"/>
        <v>-277519.80699000001</v>
      </c>
      <c r="R18" s="3">
        <f t="shared" si="15"/>
        <v>-291394</v>
      </c>
      <c r="S18" s="3">
        <f t="shared" si="15"/>
        <v>-316822</v>
      </c>
      <c r="T18" s="3">
        <f t="shared" si="15"/>
        <v>-288781</v>
      </c>
      <c r="U18" s="3">
        <f>SUM(U4:U5)</f>
        <v>-302770</v>
      </c>
      <c r="V18" s="3">
        <f t="shared" ref="V18:AJ18" si="16">+V5+V4</f>
        <v>-305392</v>
      </c>
      <c r="W18" s="3">
        <f t="shared" si="16"/>
        <v>-351056</v>
      </c>
      <c r="X18" s="3">
        <f t="shared" ref="X18" si="17">+X5+X4</f>
        <v>-331932</v>
      </c>
      <c r="Y18" s="3">
        <f t="shared" si="16"/>
        <v>-426448</v>
      </c>
      <c r="Z18" s="3">
        <f t="shared" si="16"/>
        <v>-435747</v>
      </c>
      <c r="AA18" s="3">
        <f t="shared" si="16"/>
        <v>-464566</v>
      </c>
      <c r="AB18" s="3">
        <f t="shared" si="16"/>
        <v>-351246</v>
      </c>
      <c r="AC18" s="3">
        <f t="shared" si="16"/>
        <v>-360348</v>
      </c>
      <c r="AD18" s="3">
        <f t="shared" si="16"/>
        <v>-366219</v>
      </c>
      <c r="AE18" s="3">
        <f t="shared" si="16"/>
        <v>-375885</v>
      </c>
      <c r="AF18" s="3">
        <f t="shared" si="16"/>
        <v>-329304</v>
      </c>
      <c r="AG18" s="3">
        <f t="shared" si="16"/>
        <v>-352116</v>
      </c>
      <c r="AH18" s="3">
        <f t="shared" si="16"/>
        <v>-383401</v>
      </c>
      <c r="AI18" s="3">
        <f t="shared" si="16"/>
        <v>-434626</v>
      </c>
      <c r="AJ18" s="3">
        <f t="shared" si="16"/>
        <v>-624203</v>
      </c>
      <c r="AT18" s="28"/>
      <c r="AU18" s="28"/>
      <c r="AV18" s="28"/>
      <c r="AW18" s="28"/>
      <c r="AX18" s="28"/>
      <c r="AY18" s="28"/>
      <c r="AZ18" s="28"/>
      <c r="BA18" s="28"/>
      <c r="BB18" s="28"/>
    </row>
    <row r="19" spans="1:59">
      <c r="A19" s="1" t="s">
        <v>218</v>
      </c>
      <c r="B19" s="1" t="s">
        <v>480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S19" s="28"/>
      <c r="AT19" s="28"/>
      <c r="AU19" s="28"/>
      <c r="AV19" s="28"/>
      <c r="AW19" s="28"/>
      <c r="AX19" s="28"/>
      <c r="AY19" s="28"/>
      <c r="AZ19" s="28"/>
      <c r="BA19" s="28"/>
    </row>
    <row r="20" spans="1:59">
      <c r="A20" s="69" t="s">
        <v>348</v>
      </c>
      <c r="B20" s="1" t="s">
        <v>484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S20" s="28"/>
      <c r="AT20" s="28"/>
      <c r="AU20" s="28"/>
      <c r="AV20" s="28"/>
      <c r="AW20" s="28"/>
      <c r="AX20" s="28"/>
      <c r="AY20" s="28"/>
      <c r="AZ20" s="28"/>
      <c r="BA20" s="28"/>
    </row>
    <row r="21" spans="1:59"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S21" s="28"/>
      <c r="AT21" s="28"/>
      <c r="AU21" s="28"/>
      <c r="AV21" s="28"/>
      <c r="AW21" s="28"/>
      <c r="AX21" s="28"/>
      <c r="AY21" s="28"/>
      <c r="AZ21" s="28"/>
      <c r="BA21" s="28"/>
    </row>
    <row r="22" spans="1:59" ht="15.5">
      <c r="A22" s="109" t="s">
        <v>217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S22" s="28"/>
      <c r="AT22" s="28"/>
      <c r="AU22" s="28"/>
      <c r="AV22" s="28"/>
      <c r="AW22" s="28"/>
      <c r="AX22" s="28"/>
      <c r="AY22" s="28"/>
      <c r="AZ22" s="28"/>
      <c r="BA22" s="28"/>
    </row>
    <row r="23" spans="1:59" ht="15.5">
      <c r="A23" s="109" t="s">
        <v>481</v>
      </c>
    </row>
    <row r="24" spans="1:59" ht="24.5" thickBot="1">
      <c r="A24" s="171" t="s">
        <v>504</v>
      </c>
      <c r="B24" s="171" t="s">
        <v>172</v>
      </c>
      <c r="C24" s="188" t="s">
        <v>189</v>
      </c>
      <c r="D24" s="188" t="s">
        <v>192</v>
      </c>
      <c r="E24" s="188" t="s">
        <v>196</v>
      </c>
      <c r="F24" s="188" t="s">
        <v>216</v>
      </c>
      <c r="G24" s="188" t="s">
        <v>219</v>
      </c>
      <c r="H24" s="188" t="s">
        <v>238</v>
      </c>
      <c r="I24" s="188" t="s">
        <v>239</v>
      </c>
      <c r="J24" s="188" t="s">
        <v>242</v>
      </c>
      <c r="K24" s="188" t="s">
        <v>245</v>
      </c>
      <c r="L24" s="188" t="s">
        <v>252</v>
      </c>
      <c r="M24" s="188" t="s">
        <v>257</v>
      </c>
      <c r="N24" s="188" t="s">
        <v>259</v>
      </c>
      <c r="O24" s="188" t="s">
        <v>262</v>
      </c>
      <c r="P24" s="188" t="s">
        <v>267</v>
      </c>
      <c r="Q24" s="188" t="s">
        <v>275</v>
      </c>
      <c r="R24" s="188" t="s">
        <v>282</v>
      </c>
      <c r="S24" s="188" t="s">
        <v>285</v>
      </c>
      <c r="T24" s="188" t="s">
        <v>363</v>
      </c>
      <c r="U24" s="188" t="s">
        <v>405</v>
      </c>
      <c r="V24" s="188" t="s">
        <v>407</v>
      </c>
      <c r="W24" s="188" t="s">
        <v>411</v>
      </c>
      <c r="X24" s="188" t="s">
        <v>420</v>
      </c>
      <c r="Y24" s="188" t="s">
        <v>426</v>
      </c>
      <c r="Z24" s="188" t="s">
        <v>430</v>
      </c>
      <c r="AA24" s="254" t="s">
        <v>510</v>
      </c>
      <c r="AB24" s="254" t="s">
        <v>591</v>
      </c>
      <c r="AC24" s="254" t="s">
        <v>597</v>
      </c>
      <c r="AD24" s="254" t="s">
        <v>608</v>
      </c>
      <c r="AE24" s="254" t="s">
        <v>612</v>
      </c>
      <c r="AF24" s="254" t="s">
        <v>618</v>
      </c>
      <c r="AG24" s="254" t="s">
        <v>630</v>
      </c>
      <c r="AH24" s="254" t="s">
        <v>637</v>
      </c>
      <c r="AI24" s="254" t="s">
        <v>643</v>
      </c>
      <c r="AJ24" s="254" t="s">
        <v>650</v>
      </c>
    </row>
    <row r="25" spans="1:59">
      <c r="A25" s="102" t="s">
        <v>90</v>
      </c>
      <c r="B25" s="102" t="s">
        <v>158</v>
      </c>
      <c r="C25" s="11">
        <v>-135106</v>
      </c>
      <c r="D25" s="11">
        <v>-270021</v>
      </c>
      <c r="E25" s="11">
        <v>-409649</v>
      </c>
      <c r="F25" s="11">
        <v>-547014</v>
      </c>
      <c r="G25" s="11">
        <v>-138255</v>
      </c>
      <c r="H25" s="11">
        <v>-275163</v>
      </c>
      <c r="I25" s="11">
        <v>-411062</v>
      </c>
      <c r="J25" s="11">
        <v>-546905</v>
      </c>
      <c r="K25" s="11">
        <v>-138836</v>
      </c>
      <c r="L25" s="11">
        <v>-277914</v>
      </c>
      <c r="M25" s="11">
        <v>-417237</v>
      </c>
      <c r="N25" s="11">
        <v>-558758</v>
      </c>
      <c r="O25" s="11">
        <v>-145054</v>
      </c>
      <c r="P25" s="11">
        <v>-294954</v>
      </c>
      <c r="Q25" s="11">
        <v>-443966</v>
      </c>
      <c r="R25" s="11">
        <v>-596538</v>
      </c>
      <c r="S25" s="11">
        <v>-157699</v>
      </c>
      <c r="T25" s="11">
        <v>-316220</v>
      </c>
      <c r="U25" s="11">
        <v>-477187</v>
      </c>
      <c r="V25" s="11">
        <v>-638095</v>
      </c>
      <c r="W25" s="11">
        <v>-172555</v>
      </c>
      <c r="X25" s="11">
        <v>-372216</v>
      </c>
      <c r="Y25" s="11">
        <v>-603806</v>
      </c>
      <c r="Z25" s="11">
        <v>-836389</v>
      </c>
      <c r="AA25" s="11">
        <v>-243752</v>
      </c>
      <c r="AB25" s="11">
        <v>-451200</v>
      </c>
      <c r="AC25" s="11">
        <v>-662752</v>
      </c>
      <c r="AD25" s="11">
        <v>-856330</v>
      </c>
      <c r="AE25" s="11">
        <v>-205599</v>
      </c>
      <c r="AF25" s="11">
        <v>-411015</v>
      </c>
      <c r="AG25" s="11">
        <v>-613290</v>
      </c>
      <c r="AH25" s="11">
        <v>-815324</v>
      </c>
      <c r="AI25" s="11">
        <v>-217934</v>
      </c>
      <c r="AJ25" s="11">
        <v>-445427</v>
      </c>
      <c r="BB25" s="28"/>
      <c r="BC25" s="28"/>
      <c r="BE25" s="28"/>
      <c r="BF25" s="28"/>
      <c r="BG25" s="28"/>
    </row>
    <row r="26" spans="1:59">
      <c r="A26" s="102" t="s">
        <v>80</v>
      </c>
      <c r="B26" s="102" t="s">
        <v>173</v>
      </c>
      <c r="C26" s="12">
        <v>-126055</v>
      </c>
      <c r="D26" s="12">
        <v>-257533</v>
      </c>
      <c r="E26" s="12">
        <v>-382838</v>
      </c>
      <c r="F26" s="12">
        <v>-509039</v>
      </c>
      <c r="G26" s="12">
        <v>-124259</v>
      </c>
      <c r="H26" s="12">
        <f t="shared" ref="H26:N26" si="18">SUM(H27:H38)</f>
        <v>-246067</v>
      </c>
      <c r="I26" s="12">
        <f t="shared" si="18"/>
        <v>-363567</v>
      </c>
      <c r="J26" s="12">
        <f t="shared" si="18"/>
        <v>-489709</v>
      </c>
      <c r="K26" s="12">
        <f t="shared" si="18"/>
        <v>-119524</v>
      </c>
      <c r="L26" s="12">
        <f t="shared" si="18"/>
        <v>-246527</v>
      </c>
      <c r="M26" s="12">
        <f t="shared" si="18"/>
        <v>-371980</v>
      </c>
      <c r="N26" s="12">
        <f t="shared" si="18"/>
        <v>-498708</v>
      </c>
      <c r="O26" s="12">
        <f t="shared" ref="O26:T26" si="19">SUM(O27:O38)</f>
        <v>-156277</v>
      </c>
      <c r="P26" s="12">
        <f t="shared" si="19"/>
        <v>-285855</v>
      </c>
      <c r="Q26" s="12">
        <f t="shared" si="19"/>
        <v>-414362.80699000001</v>
      </c>
      <c r="R26" s="12">
        <f t="shared" si="19"/>
        <v>-553184.80698999995</v>
      </c>
      <c r="S26" s="12">
        <f t="shared" si="19"/>
        <v>-159123</v>
      </c>
      <c r="T26" s="12">
        <f t="shared" si="19"/>
        <v>-289383</v>
      </c>
      <c r="U26" s="12">
        <f t="shared" ref="U26:AJ26" si="20">SUM(U27:U38)</f>
        <v>-431186</v>
      </c>
      <c r="V26" s="12">
        <f t="shared" si="20"/>
        <v>-575670</v>
      </c>
      <c r="W26" s="12">
        <f t="shared" si="20"/>
        <v>-178501</v>
      </c>
      <c r="X26" s="12">
        <f t="shared" si="20"/>
        <v>-310772</v>
      </c>
      <c r="Y26" s="12">
        <f t="shared" si="20"/>
        <v>-505630</v>
      </c>
      <c r="Z26" s="12">
        <f t="shared" si="20"/>
        <v>-708794</v>
      </c>
      <c r="AA26" s="12">
        <f t="shared" si="20"/>
        <v>-220814</v>
      </c>
      <c r="AB26" s="12">
        <f t="shared" si="20"/>
        <v>-364612</v>
      </c>
      <c r="AC26" s="12">
        <f t="shared" si="20"/>
        <v>-513408</v>
      </c>
      <c r="AD26" s="12">
        <f t="shared" si="20"/>
        <v>-686049</v>
      </c>
      <c r="AE26" s="12">
        <f t="shared" si="20"/>
        <v>-170286</v>
      </c>
      <c r="AF26" s="12">
        <f t="shared" si="20"/>
        <v>-294174</v>
      </c>
      <c r="AG26" s="12">
        <f t="shared" si="20"/>
        <v>-444015</v>
      </c>
      <c r="AH26" s="12">
        <f t="shared" si="20"/>
        <v>-625382</v>
      </c>
      <c r="AI26" s="12">
        <f t="shared" si="20"/>
        <v>-216692</v>
      </c>
      <c r="AJ26" s="12">
        <f t="shared" si="20"/>
        <v>-613402</v>
      </c>
      <c r="BB26" s="28"/>
      <c r="BC26" s="28"/>
      <c r="BE26" s="28"/>
      <c r="BF26" s="28"/>
      <c r="BG26" s="28"/>
    </row>
    <row r="27" spans="1:59" ht="12.5" thickBot="1">
      <c r="A27" s="115" t="s">
        <v>70</v>
      </c>
      <c r="B27" s="115" t="s">
        <v>159</v>
      </c>
      <c r="C27" s="12">
        <v>-15451</v>
      </c>
      <c r="D27" s="12">
        <v>-34418</v>
      </c>
      <c r="E27" s="12">
        <v>-48499</v>
      </c>
      <c r="F27" s="12">
        <v>-63693</v>
      </c>
      <c r="G27" s="12">
        <v>-15614</v>
      </c>
      <c r="H27" s="12">
        <v>-25147</v>
      </c>
      <c r="I27" s="12">
        <v>-33020</v>
      </c>
      <c r="J27" s="12">
        <v>-44416</v>
      </c>
      <c r="K27" s="12">
        <v>-8328</v>
      </c>
      <c r="L27" s="12">
        <v>-21031</v>
      </c>
      <c r="M27" s="12">
        <v>-34301</v>
      </c>
      <c r="N27" s="12">
        <v>-44262</v>
      </c>
      <c r="O27" s="12">
        <v>-6089</v>
      </c>
      <c r="P27" s="12">
        <v>-21199</v>
      </c>
      <c r="Q27" s="12">
        <v>-36069</v>
      </c>
      <c r="R27" s="12">
        <v>-53963</v>
      </c>
      <c r="S27" s="12">
        <v>-7583</v>
      </c>
      <c r="T27" s="12">
        <v>-23957</v>
      </c>
      <c r="U27" s="12">
        <v>-38389</v>
      </c>
      <c r="V27" s="12">
        <v>-58056</v>
      </c>
      <c r="W27" s="12">
        <v>-6795</v>
      </c>
      <c r="X27" s="12">
        <v>-26888</v>
      </c>
      <c r="Y27" s="12">
        <v>-51723</v>
      </c>
      <c r="Z27" s="12">
        <v>-80824</v>
      </c>
      <c r="AA27" s="12">
        <v>-14101</v>
      </c>
      <c r="AB27" s="12">
        <v>-30094</v>
      </c>
      <c r="AC27" s="12">
        <v>-40836</v>
      </c>
      <c r="AD27" s="12">
        <v>-61818</v>
      </c>
      <c r="AE27" s="12">
        <v>-12767</v>
      </c>
      <c r="AF27" s="12">
        <v>-27338</v>
      </c>
      <c r="AG27" s="12">
        <v>-40189</v>
      </c>
      <c r="AH27" s="12">
        <v>-64559</v>
      </c>
      <c r="AI27" s="12">
        <v>-15320</v>
      </c>
      <c r="AJ27" s="12">
        <v>-34846</v>
      </c>
      <c r="BB27" s="28"/>
      <c r="BC27" s="28"/>
      <c r="BE27" s="28"/>
      <c r="BF27" s="28"/>
      <c r="BG27" s="28"/>
    </row>
    <row r="28" spans="1:59" ht="12.5" thickBot="1">
      <c r="A28" s="115" t="s">
        <v>195</v>
      </c>
      <c r="B28" s="115" t="s">
        <v>194</v>
      </c>
      <c r="C28" s="12">
        <v>-18264.336810000001</v>
      </c>
      <c r="D28" s="12">
        <v>-36067.101900000001</v>
      </c>
      <c r="E28" s="12">
        <v>-53943</v>
      </c>
      <c r="F28" s="12">
        <v>-70487</v>
      </c>
      <c r="G28" s="12">
        <v>-17403</v>
      </c>
      <c r="H28" s="12">
        <v>-34723</v>
      </c>
      <c r="I28" s="12">
        <v>-52393</v>
      </c>
      <c r="J28" s="12">
        <v>-69760</v>
      </c>
      <c r="K28" s="12">
        <v>-18217</v>
      </c>
      <c r="L28" s="12">
        <v>-36331</v>
      </c>
      <c r="M28" s="12">
        <v>-55333</v>
      </c>
      <c r="N28" s="12">
        <v>-75113</v>
      </c>
      <c r="O28" s="12">
        <v>-18972</v>
      </c>
      <c r="P28" s="12">
        <v>-38215</v>
      </c>
      <c r="Q28" s="12">
        <v>-57798</v>
      </c>
      <c r="R28" s="12">
        <v>-78050</v>
      </c>
      <c r="S28" s="12">
        <v>-20701</v>
      </c>
      <c r="T28" s="12">
        <v>-43563</v>
      </c>
      <c r="U28" s="12">
        <v>-65998</v>
      </c>
      <c r="V28" s="12">
        <v>-89577</v>
      </c>
      <c r="W28" s="12">
        <v>-24258</v>
      </c>
      <c r="X28" s="12">
        <v>-59875</v>
      </c>
      <c r="Y28" s="12">
        <v>-108193</v>
      </c>
      <c r="Z28" s="12">
        <v>-162205</v>
      </c>
      <c r="AA28" s="12">
        <v>-34854</v>
      </c>
      <c r="AB28" s="12">
        <v>-66040</v>
      </c>
      <c r="AC28" s="12">
        <v>-97290</v>
      </c>
      <c r="AD28" s="12">
        <v>-130989</v>
      </c>
      <c r="AE28" s="12">
        <v>-29658</v>
      </c>
      <c r="AF28" s="12">
        <v>-59537</v>
      </c>
      <c r="AG28" s="12">
        <v>-93566</v>
      </c>
      <c r="AH28" s="12">
        <v>-126931</v>
      </c>
      <c r="AI28" s="12">
        <v>-31173</v>
      </c>
      <c r="AJ28" s="12">
        <v>-64234</v>
      </c>
      <c r="BB28" s="28"/>
      <c r="BC28" s="28"/>
      <c r="BE28" s="28"/>
      <c r="BF28" s="28"/>
      <c r="BG28" s="28"/>
    </row>
    <row r="29" spans="1:59" ht="12.5" thickBot="1">
      <c r="A29" s="115" t="s">
        <v>71</v>
      </c>
      <c r="B29" s="115" t="s">
        <v>160</v>
      </c>
      <c r="C29" s="12">
        <v>-45428</v>
      </c>
      <c r="D29" s="12">
        <v>-90007</v>
      </c>
      <c r="E29" s="12">
        <v>-134058</v>
      </c>
      <c r="F29" s="12">
        <v>-181763</v>
      </c>
      <c r="G29" s="12">
        <v>-43655</v>
      </c>
      <c r="H29" s="12">
        <v>-86591</v>
      </c>
      <c r="I29" s="12">
        <v>-129715</v>
      </c>
      <c r="J29" s="12">
        <v>-174425</v>
      </c>
      <c r="K29" s="12">
        <v>-44493</v>
      </c>
      <c r="L29" s="12">
        <v>-90924</v>
      </c>
      <c r="M29" s="12">
        <v>-132259</v>
      </c>
      <c r="N29" s="12">
        <v>-174889</v>
      </c>
      <c r="O29" s="12">
        <v>-40960</v>
      </c>
      <c r="P29" s="12">
        <v>-78723</v>
      </c>
      <c r="Q29" s="12">
        <v>-118437</v>
      </c>
      <c r="R29" s="12">
        <v>-157369</v>
      </c>
      <c r="S29" s="12">
        <v>-36375</v>
      </c>
      <c r="T29" s="12">
        <v>-73516</v>
      </c>
      <c r="U29" s="12">
        <v>-109602</v>
      </c>
      <c r="V29" s="12">
        <v>-145691</v>
      </c>
      <c r="W29" s="12">
        <v>-18386</v>
      </c>
      <c r="X29" s="12">
        <v>-36879</v>
      </c>
      <c r="Y29" s="12">
        <v>-55488</v>
      </c>
      <c r="Z29" s="12">
        <v>-70536</v>
      </c>
      <c r="AA29" s="12">
        <v>-21081</v>
      </c>
      <c r="AB29" s="12">
        <v>-40319</v>
      </c>
      <c r="AC29" s="12">
        <v>-60862</v>
      </c>
      <c r="AD29" s="12">
        <v>-78055</v>
      </c>
      <c r="AE29" s="12">
        <v>-15907</v>
      </c>
      <c r="AF29" s="12">
        <v>-28090</v>
      </c>
      <c r="AG29" s="12">
        <v>-40951</v>
      </c>
      <c r="AH29" s="12">
        <v>-54214</v>
      </c>
      <c r="AI29" s="12">
        <v>-12511</v>
      </c>
      <c r="AJ29" s="12">
        <v>-24700</v>
      </c>
      <c r="BB29" s="28"/>
      <c r="BC29" s="28"/>
      <c r="BE29" s="28"/>
      <c r="BF29" s="28"/>
      <c r="BG29" s="28"/>
    </row>
    <row r="30" spans="1:59" ht="24.5" thickBot="1">
      <c r="A30" s="115" t="s">
        <v>72</v>
      </c>
      <c r="B30" s="115" t="s">
        <v>161</v>
      </c>
      <c r="C30" s="12">
        <v>-6054</v>
      </c>
      <c r="D30" s="12">
        <v>-12708</v>
      </c>
      <c r="E30" s="12">
        <v>-19102</v>
      </c>
      <c r="F30" s="12">
        <v>-25349</v>
      </c>
      <c r="G30" s="12">
        <v>-6703</v>
      </c>
      <c r="H30" s="12">
        <v>-13647</v>
      </c>
      <c r="I30" s="12">
        <v>-20223</v>
      </c>
      <c r="J30" s="12">
        <v>-26914</v>
      </c>
      <c r="K30" s="12">
        <v>-6477</v>
      </c>
      <c r="L30" s="12">
        <v>-12995</v>
      </c>
      <c r="M30" s="12">
        <v>-19724</v>
      </c>
      <c r="N30" s="12">
        <v>-25673</v>
      </c>
      <c r="O30" s="12">
        <v>-6213</v>
      </c>
      <c r="P30" s="12">
        <v>-12738</v>
      </c>
      <c r="Q30" s="12">
        <v>-19118</v>
      </c>
      <c r="R30" s="12">
        <v>-25800</v>
      </c>
      <c r="S30" s="12">
        <v>-6590</v>
      </c>
      <c r="T30" s="12">
        <v>-13267</v>
      </c>
      <c r="U30" s="12">
        <v>-20191</v>
      </c>
      <c r="V30" s="12">
        <v>-28008</v>
      </c>
      <c r="W30" s="12">
        <v>-8627</v>
      </c>
      <c r="X30" s="12">
        <v>-18749</v>
      </c>
      <c r="Y30" s="12">
        <v>-30259</v>
      </c>
      <c r="Z30" s="12">
        <v>-45173</v>
      </c>
      <c r="AA30" s="12">
        <v>-13846</v>
      </c>
      <c r="AB30" s="12">
        <v>-28410</v>
      </c>
      <c r="AC30" s="12">
        <v>-39093</v>
      </c>
      <c r="AD30" s="12">
        <v>-49635</v>
      </c>
      <c r="AE30" s="12">
        <v>-10248</v>
      </c>
      <c r="AF30" s="12">
        <v>-20271</v>
      </c>
      <c r="AG30" s="12">
        <v>-30028</v>
      </c>
      <c r="AH30" s="12">
        <v>-40710</v>
      </c>
      <c r="AI30" s="12">
        <v>-10336</v>
      </c>
      <c r="AJ30" s="12">
        <v>-20823</v>
      </c>
      <c r="BB30" s="28"/>
      <c r="BC30" s="28"/>
      <c r="BE30" s="28"/>
      <c r="BF30" s="28"/>
      <c r="BG30" s="28"/>
    </row>
    <row r="31" spans="1:59" ht="12.5" thickBot="1">
      <c r="A31" s="115" t="s">
        <v>73</v>
      </c>
      <c r="B31" s="115" t="s">
        <v>162</v>
      </c>
      <c r="C31" s="12">
        <v>-4003</v>
      </c>
      <c r="D31" s="12">
        <v>-8331</v>
      </c>
      <c r="E31" s="12">
        <v>-12541</v>
      </c>
      <c r="F31" s="12">
        <v>-16668</v>
      </c>
      <c r="G31" s="12">
        <v>-4070</v>
      </c>
      <c r="H31" s="12">
        <v>-8092</v>
      </c>
      <c r="I31" s="12">
        <v>-12442</v>
      </c>
      <c r="J31" s="12">
        <v>-16501</v>
      </c>
      <c r="K31" s="12">
        <v>-4022</v>
      </c>
      <c r="L31" s="12">
        <v>-8242</v>
      </c>
      <c r="M31" s="12">
        <v>-12528</v>
      </c>
      <c r="N31" s="12">
        <v>-16511</v>
      </c>
      <c r="O31" s="12">
        <v>-4360</v>
      </c>
      <c r="P31" s="12">
        <v>-8545</v>
      </c>
      <c r="Q31" s="12">
        <v>-13010</v>
      </c>
      <c r="R31" s="12">
        <v>-17551</v>
      </c>
      <c r="S31" s="12">
        <v>-4652</v>
      </c>
      <c r="T31" s="12">
        <v>-9491</v>
      </c>
      <c r="U31" s="12">
        <v>-14426</v>
      </c>
      <c r="V31" s="12">
        <v>-19662</v>
      </c>
      <c r="W31" s="12">
        <v>-4957</v>
      </c>
      <c r="X31" s="12">
        <v>-10304</v>
      </c>
      <c r="Y31" s="12">
        <v>-15489</v>
      </c>
      <c r="Z31" s="12">
        <v>-21227</v>
      </c>
      <c r="AA31" s="12">
        <v>-7541</v>
      </c>
      <c r="AB31" s="12">
        <v>-14473</v>
      </c>
      <c r="AC31" s="12">
        <v>-20724</v>
      </c>
      <c r="AD31" s="12">
        <v>-27322</v>
      </c>
      <c r="AE31" s="12">
        <v>-6322</v>
      </c>
      <c r="AF31" s="12">
        <v>-13092</v>
      </c>
      <c r="AG31" s="12">
        <v>-20497</v>
      </c>
      <c r="AH31" s="12">
        <v>-27536</v>
      </c>
      <c r="AI31" s="12">
        <v>-7161</v>
      </c>
      <c r="AJ31" s="12">
        <v>-15612</v>
      </c>
      <c r="BB31" s="28"/>
      <c r="BC31" s="28"/>
      <c r="BE31" s="28"/>
      <c r="BF31" s="28"/>
      <c r="BG31" s="28"/>
    </row>
    <row r="32" spans="1:59" ht="24.5" thickBot="1">
      <c r="A32" s="115" t="s">
        <v>74</v>
      </c>
      <c r="B32" s="115" t="s">
        <v>163</v>
      </c>
      <c r="C32" s="12">
        <v>-6232</v>
      </c>
      <c r="D32" s="12">
        <v>-11657</v>
      </c>
      <c r="E32" s="12">
        <v>-21688</v>
      </c>
      <c r="F32" s="12">
        <v>-24037</v>
      </c>
      <c r="G32" s="12">
        <v>-1804</v>
      </c>
      <c r="H32" s="12">
        <v>-5095</v>
      </c>
      <c r="I32" s="12">
        <v>-8676</v>
      </c>
      <c r="J32" s="12">
        <v>-11921</v>
      </c>
      <c r="K32" s="12">
        <v>-3751</v>
      </c>
      <c r="L32" s="12">
        <v>-8493</v>
      </c>
      <c r="M32" s="12">
        <v>-15590</v>
      </c>
      <c r="N32" s="12">
        <v>-21991</v>
      </c>
      <c r="O32" s="12">
        <v>-5139</v>
      </c>
      <c r="P32" s="12">
        <v>-12797</v>
      </c>
      <c r="Q32" s="12">
        <v>-22498</v>
      </c>
      <c r="R32" s="12">
        <v>-35189</v>
      </c>
      <c r="S32" s="12">
        <v>-4641</v>
      </c>
      <c r="T32" s="12">
        <v>-13451</v>
      </c>
      <c r="U32" s="12">
        <v>-23989</v>
      </c>
      <c r="V32" s="12">
        <v>-28852</v>
      </c>
      <c r="W32" s="12">
        <v>-5719</v>
      </c>
      <c r="X32" s="12">
        <v>-19762</v>
      </c>
      <c r="Y32" s="12">
        <v>-49063</v>
      </c>
      <c r="Z32" s="12">
        <v>-71507</v>
      </c>
      <c r="AA32" s="12">
        <v>-5583</v>
      </c>
      <c r="AB32" s="12">
        <v>-15123</v>
      </c>
      <c r="AC32" s="12">
        <v>-21363</v>
      </c>
      <c r="AD32" s="12">
        <v>-37771</v>
      </c>
      <c r="AE32" s="12">
        <v>-11230</v>
      </c>
      <c r="AF32" s="12">
        <v>-25720</v>
      </c>
      <c r="AG32" s="12">
        <v>-43232</v>
      </c>
      <c r="AH32" s="12">
        <v>-77104</v>
      </c>
      <c r="AI32" s="12">
        <v>-17153</v>
      </c>
      <c r="AJ32" s="12">
        <v>-36408</v>
      </c>
      <c r="BB32" s="28"/>
      <c r="BC32" s="28"/>
      <c r="BE32" s="28"/>
      <c r="BF32" s="28"/>
      <c r="BG32" s="28"/>
    </row>
    <row r="33" spans="1:59" ht="12.5" thickBot="1">
      <c r="A33" s="115" t="s">
        <v>75</v>
      </c>
      <c r="B33" s="115" t="s">
        <v>164</v>
      </c>
      <c r="C33" s="12">
        <v>-4076</v>
      </c>
      <c r="D33" s="12">
        <v>-8234</v>
      </c>
      <c r="E33" s="12">
        <v>-12681</v>
      </c>
      <c r="F33" s="12">
        <v>-18018</v>
      </c>
      <c r="G33" s="12">
        <v>-3984</v>
      </c>
      <c r="H33" s="12">
        <v>-8031</v>
      </c>
      <c r="I33" s="12">
        <v>-11152</v>
      </c>
      <c r="J33" s="12">
        <v>-15856</v>
      </c>
      <c r="K33" s="12">
        <v>-4118</v>
      </c>
      <c r="L33" s="12">
        <v>-8406</v>
      </c>
      <c r="M33" s="12">
        <v>-12281</v>
      </c>
      <c r="N33" s="12">
        <v>-17043</v>
      </c>
      <c r="O33" s="12">
        <v>-4098</v>
      </c>
      <c r="P33" s="12">
        <v>-8427</v>
      </c>
      <c r="Q33" s="12">
        <v>-12987</v>
      </c>
      <c r="R33" s="12">
        <v>-17321</v>
      </c>
      <c r="S33" s="12">
        <v>-5092</v>
      </c>
      <c r="T33" s="12">
        <v>-11015</v>
      </c>
      <c r="U33" s="12">
        <v>-16938</v>
      </c>
      <c r="V33" s="12">
        <v>-23261</v>
      </c>
      <c r="W33" s="12">
        <v>-6111</v>
      </c>
      <c r="X33" s="12">
        <v>-13403</v>
      </c>
      <c r="Y33" s="12">
        <v>-22344</v>
      </c>
      <c r="Z33" s="12">
        <v>-31363</v>
      </c>
      <c r="AA33" s="12">
        <v>-8615</v>
      </c>
      <c r="AB33" s="12">
        <v>-17124</v>
      </c>
      <c r="AC33" s="12">
        <v>-24477</v>
      </c>
      <c r="AD33" s="12">
        <v>-34538</v>
      </c>
      <c r="AE33" s="12">
        <v>-8468</v>
      </c>
      <c r="AF33" s="12">
        <v>-17778</v>
      </c>
      <c r="AG33" s="12">
        <v>-25924</v>
      </c>
      <c r="AH33" s="12">
        <v>-33937</v>
      </c>
      <c r="AI33" s="12">
        <v>-8553</v>
      </c>
      <c r="AJ33" s="12">
        <v>-18754</v>
      </c>
      <c r="BB33" s="28"/>
      <c r="BC33" s="28"/>
      <c r="BE33" s="28"/>
      <c r="BF33" s="28"/>
      <c r="BG33" s="28"/>
    </row>
    <row r="34" spans="1:59" ht="12.5" thickBot="1">
      <c r="A34" s="115" t="s">
        <v>76</v>
      </c>
      <c r="B34" s="115" t="s">
        <v>165</v>
      </c>
      <c r="C34" s="12">
        <v>-960</v>
      </c>
      <c r="D34" s="12">
        <v>-2027</v>
      </c>
      <c r="E34" s="12">
        <v>-2996</v>
      </c>
      <c r="F34" s="12">
        <v>-4016</v>
      </c>
      <c r="G34" s="12">
        <v>-969</v>
      </c>
      <c r="H34" s="12">
        <v>-1983</v>
      </c>
      <c r="I34" s="12">
        <v>-3006</v>
      </c>
      <c r="J34" s="12">
        <v>-4092</v>
      </c>
      <c r="K34" s="12">
        <v>-1033</v>
      </c>
      <c r="L34" s="12">
        <v>-2141</v>
      </c>
      <c r="M34" s="12">
        <v>-3285</v>
      </c>
      <c r="N34" s="12">
        <v>-4595</v>
      </c>
      <c r="O34" s="12">
        <v>-1155</v>
      </c>
      <c r="P34" s="12">
        <v>-2335</v>
      </c>
      <c r="Q34" s="12">
        <v>-3546</v>
      </c>
      <c r="R34" s="12">
        <v>-4776</v>
      </c>
      <c r="S34" s="12">
        <v>-1294</v>
      </c>
      <c r="T34" s="12">
        <v>-2674</v>
      </c>
      <c r="U34" s="12">
        <v>-4087</v>
      </c>
      <c r="V34" s="12">
        <v>-5589</v>
      </c>
      <c r="W34" s="12">
        <v>-1377</v>
      </c>
      <c r="X34" s="12">
        <v>-3225</v>
      </c>
      <c r="Y34" s="12">
        <v>-5311</v>
      </c>
      <c r="Z34" s="12">
        <v>-7243</v>
      </c>
      <c r="AA34" s="12">
        <v>-1970</v>
      </c>
      <c r="AB34" s="12">
        <v>-3882</v>
      </c>
      <c r="AC34" s="12">
        <v>-5790</v>
      </c>
      <c r="AD34" s="12">
        <v>-8022</v>
      </c>
      <c r="AE34" s="12">
        <v>-2147</v>
      </c>
      <c r="AF34" s="12">
        <v>-4439</v>
      </c>
      <c r="AG34" s="12">
        <v>-6826</v>
      </c>
      <c r="AH34" s="12">
        <v>-9325</v>
      </c>
      <c r="AI34" s="12">
        <v>-2678</v>
      </c>
      <c r="AJ34" s="12">
        <v>-5503</v>
      </c>
      <c r="BB34" s="28"/>
      <c r="BC34" s="28"/>
      <c r="BE34" s="28"/>
      <c r="BF34" s="28"/>
      <c r="BG34" s="28"/>
    </row>
    <row r="35" spans="1:59" ht="12.5" thickBot="1">
      <c r="A35" s="115" t="s">
        <v>77</v>
      </c>
      <c r="B35" s="115" t="s">
        <v>166</v>
      </c>
      <c r="C35" s="12">
        <v>-1372</v>
      </c>
      <c r="D35" s="12">
        <v>-2796</v>
      </c>
      <c r="E35" s="12">
        <v>-4070</v>
      </c>
      <c r="F35" s="12">
        <v>-5252</v>
      </c>
      <c r="G35" s="12">
        <v>-1186</v>
      </c>
      <c r="H35" s="12">
        <v>-2506</v>
      </c>
      <c r="I35" s="12">
        <v>-3737</v>
      </c>
      <c r="J35" s="12">
        <v>-5008</v>
      </c>
      <c r="K35" s="12">
        <v>-1243</v>
      </c>
      <c r="L35" s="12">
        <v>-2437</v>
      </c>
      <c r="M35" s="12">
        <v>-3686</v>
      </c>
      <c r="N35" s="12">
        <v>-4830</v>
      </c>
      <c r="O35" s="12">
        <v>-1393</v>
      </c>
      <c r="P35" s="12">
        <v>-2547</v>
      </c>
      <c r="Q35" s="12">
        <v>-3568</v>
      </c>
      <c r="R35" s="12">
        <v>-4663</v>
      </c>
      <c r="S35" s="12">
        <v>-1126</v>
      </c>
      <c r="T35" s="12">
        <v>-2395</v>
      </c>
      <c r="U35" s="12">
        <v>-3673</v>
      </c>
      <c r="V35" s="12">
        <v>-4959</v>
      </c>
      <c r="W35" s="12">
        <v>-1401</v>
      </c>
      <c r="X35" s="12">
        <v>-3057</v>
      </c>
      <c r="Y35" s="12">
        <v>-5240</v>
      </c>
      <c r="Z35" s="12">
        <v>-7397</v>
      </c>
      <c r="AA35" s="12">
        <v>-2158</v>
      </c>
      <c r="AB35" s="12">
        <v>-4378</v>
      </c>
      <c r="AC35" s="12">
        <v>-6487</v>
      </c>
      <c r="AD35" s="12">
        <v>-8183</v>
      </c>
      <c r="AE35" s="12">
        <v>-1832</v>
      </c>
      <c r="AF35" s="12">
        <v>-3568</v>
      </c>
      <c r="AG35" s="12">
        <v>-5370</v>
      </c>
      <c r="AH35" s="12">
        <v>-7147</v>
      </c>
      <c r="AI35" s="12">
        <v>-836</v>
      </c>
      <c r="AJ35" s="12">
        <v>-2621</v>
      </c>
      <c r="BB35" s="28"/>
      <c r="BC35" s="28"/>
      <c r="BE35" s="28"/>
      <c r="BF35" s="28"/>
      <c r="BG35" s="28"/>
    </row>
    <row r="36" spans="1:59" ht="12.5" thickBot="1">
      <c r="A36" s="115" t="s">
        <v>278</v>
      </c>
      <c r="B36" s="115" t="s">
        <v>277</v>
      </c>
      <c r="C36" s="12">
        <v>-8901</v>
      </c>
      <c r="D36" s="12">
        <v>-17802</v>
      </c>
      <c r="E36" s="12">
        <v>-26703</v>
      </c>
      <c r="F36" s="12">
        <v>-35604</v>
      </c>
      <c r="G36" s="12">
        <v>-16365</v>
      </c>
      <c r="H36" s="12">
        <v>-32730</v>
      </c>
      <c r="I36" s="12">
        <v>-49094</v>
      </c>
      <c r="J36" s="12">
        <v>-65459</v>
      </c>
      <c r="K36" s="12">
        <v>-15346</v>
      </c>
      <c r="L36" s="12">
        <v>-30560</v>
      </c>
      <c r="M36" s="12">
        <v>-45905</v>
      </c>
      <c r="N36" s="12">
        <v>-60921</v>
      </c>
      <c r="O36" s="12">
        <v>-57069</v>
      </c>
      <c r="P36" s="12">
        <v>-72940</v>
      </c>
      <c r="Q36" s="12">
        <v>-86176.806990000012</v>
      </c>
      <c r="R36" s="12">
        <v>-99298.806990000012</v>
      </c>
      <c r="S36" s="12">
        <v>-54704</v>
      </c>
      <c r="T36" s="12">
        <v>-69623</v>
      </c>
      <c r="U36" s="12">
        <v>-87445</v>
      </c>
      <c r="V36" s="12">
        <v>-105502</v>
      </c>
      <c r="W36" s="12">
        <v>-84022</v>
      </c>
      <c r="X36" s="12">
        <v>-96050</v>
      </c>
      <c r="Y36" s="12">
        <v>-109580</v>
      </c>
      <c r="Z36" s="12">
        <v>-123468</v>
      </c>
      <c r="AA36" s="12">
        <v>-85075</v>
      </c>
      <c r="AB36" s="12">
        <v>-113066</v>
      </c>
      <c r="AC36" s="12">
        <v>-140389</v>
      </c>
      <c r="AD36" s="12">
        <v>-167190</v>
      </c>
      <c r="AE36" s="12">
        <v>-53136</v>
      </c>
      <c r="AF36" s="12">
        <v>-83319</v>
      </c>
      <c r="AG36" s="12">
        <v>-100725</v>
      </c>
      <c r="AH36" s="12">
        <v>-118217</v>
      </c>
      <c r="AI36" s="12">
        <v>-85847</v>
      </c>
      <c r="AJ36" s="306">
        <f>-120677-251700</f>
        <v>-372377</v>
      </c>
      <c r="BB36" s="28"/>
      <c r="BC36" s="28"/>
      <c r="BE36" s="28"/>
      <c r="BF36" s="28"/>
      <c r="BG36" s="28"/>
    </row>
    <row r="37" spans="1:59" ht="12.5" thickBot="1">
      <c r="A37" s="115" t="s">
        <v>79</v>
      </c>
      <c r="B37" s="115" t="s">
        <v>167</v>
      </c>
      <c r="C37" s="12">
        <v>-1574</v>
      </c>
      <c r="D37" s="12">
        <v>-2672</v>
      </c>
      <c r="E37" s="12">
        <v>-3689</v>
      </c>
      <c r="F37" s="12">
        <v>-4351</v>
      </c>
      <c r="G37" s="12">
        <v>-841</v>
      </c>
      <c r="H37" s="12">
        <v>-1678</v>
      </c>
      <c r="I37" s="12">
        <v>-2883</v>
      </c>
      <c r="J37" s="12">
        <v>-4578</v>
      </c>
      <c r="K37" s="12">
        <v>-1340</v>
      </c>
      <c r="L37" s="12">
        <v>-2679</v>
      </c>
      <c r="M37" s="12">
        <v>-3940</v>
      </c>
      <c r="N37" s="12">
        <v>-4682</v>
      </c>
      <c r="O37" s="12">
        <v>-1257</v>
      </c>
      <c r="P37" s="12">
        <v>-2538</v>
      </c>
      <c r="Q37" s="12">
        <v>-1756</v>
      </c>
      <c r="R37" s="12">
        <v>-2375</v>
      </c>
      <c r="S37" s="12">
        <v>-1337</v>
      </c>
      <c r="T37" s="12">
        <v>-2687</v>
      </c>
      <c r="U37" s="12">
        <v>-5299</v>
      </c>
      <c r="V37" s="12">
        <v>-6924</v>
      </c>
      <c r="W37" s="12">
        <v>-1621</v>
      </c>
      <c r="X37" s="12">
        <v>-3393</v>
      </c>
      <c r="Y37" s="12">
        <v>-7483</v>
      </c>
      <c r="Z37" s="12">
        <v>-10350</v>
      </c>
      <c r="AA37" s="12">
        <v>-2501</v>
      </c>
      <c r="AB37" s="12">
        <v>-5223</v>
      </c>
      <c r="AC37" s="12">
        <v>-7704</v>
      </c>
      <c r="AD37" s="12">
        <v>-10283</v>
      </c>
      <c r="AE37" s="12">
        <v>-3166</v>
      </c>
      <c r="AF37" s="12">
        <v>-6346</v>
      </c>
      <c r="AG37" s="12">
        <v>-9696</v>
      </c>
      <c r="AH37" s="12">
        <v>-12776</v>
      </c>
      <c r="AI37" s="12">
        <v>-3109</v>
      </c>
      <c r="AJ37" s="12">
        <v>-6252</v>
      </c>
      <c r="BB37" s="28"/>
      <c r="BC37" s="28"/>
      <c r="BE37" s="28"/>
      <c r="BF37" s="28"/>
      <c r="BG37" s="28"/>
    </row>
    <row r="38" spans="1:59" ht="12.5" thickBot="1">
      <c r="A38" s="115" t="s">
        <v>67</v>
      </c>
      <c r="B38" s="115" t="s">
        <v>168</v>
      </c>
      <c r="C38" s="12">
        <v>-13739.663189999999</v>
      </c>
      <c r="D38" s="12">
        <v>-30813.898099999999</v>
      </c>
      <c r="E38" s="12">
        <v>-42868</v>
      </c>
      <c r="F38" s="12">
        <v>-59801</v>
      </c>
      <c r="G38" s="12">
        <v>-11665</v>
      </c>
      <c r="H38" s="12">
        <v>-25844</v>
      </c>
      <c r="I38" s="12">
        <v>-37226</v>
      </c>
      <c r="J38" s="12">
        <v>-50779</v>
      </c>
      <c r="K38" s="12">
        <v>-11156</v>
      </c>
      <c r="L38" s="12">
        <v>-22288</v>
      </c>
      <c r="M38" s="12">
        <v>-33148</v>
      </c>
      <c r="N38" s="12">
        <v>-48198</v>
      </c>
      <c r="O38" s="12">
        <v>-9572</v>
      </c>
      <c r="P38" s="12">
        <v>-24851</v>
      </c>
      <c r="Q38" s="12">
        <v>-39399</v>
      </c>
      <c r="R38" s="12">
        <v>-56829</v>
      </c>
      <c r="S38" s="12">
        <v>-15028</v>
      </c>
      <c r="T38" s="12">
        <v>-23744</v>
      </c>
      <c r="U38" s="12">
        <v>-41149</v>
      </c>
      <c r="V38" s="12">
        <v>-59589</v>
      </c>
      <c r="W38" s="12">
        <v>-15227</v>
      </c>
      <c r="X38" s="12">
        <v>-19187</v>
      </c>
      <c r="Y38" s="12">
        <v>-45457</v>
      </c>
      <c r="Z38" s="12">
        <v>-77501</v>
      </c>
      <c r="AA38" s="12">
        <v>-23489</v>
      </c>
      <c r="AB38" s="12">
        <v>-26480</v>
      </c>
      <c r="AC38" s="12">
        <v>-48393</v>
      </c>
      <c r="AD38" s="12">
        <v>-72243</v>
      </c>
      <c r="AE38" s="12">
        <v>-15405</v>
      </c>
      <c r="AF38" s="12">
        <v>-4676</v>
      </c>
      <c r="AG38" s="12">
        <v>-27011</v>
      </c>
      <c r="AH38" s="12">
        <v>-52926</v>
      </c>
      <c r="AI38" s="12">
        <v>-22015</v>
      </c>
      <c r="AJ38" s="12">
        <v>-11272</v>
      </c>
      <c r="BB38" s="28"/>
      <c r="BC38" s="28"/>
      <c r="BE38" s="28"/>
      <c r="BF38" s="28"/>
      <c r="BG38" s="28"/>
    </row>
    <row r="39" spans="1:59" ht="12.5" thickBot="1">
      <c r="A39" s="106" t="s">
        <v>68</v>
      </c>
      <c r="B39" s="106" t="s">
        <v>156</v>
      </c>
      <c r="C39" s="3">
        <v>-261161</v>
      </c>
      <c r="D39" s="3">
        <v>-527554</v>
      </c>
      <c r="E39" s="3">
        <v>-792487</v>
      </c>
      <c r="F39" s="3">
        <v>-1056053</v>
      </c>
      <c r="G39" s="3">
        <v>-262514</v>
      </c>
      <c r="H39" s="3">
        <f t="shared" ref="H39:M39" si="21">SUM(H25:H26)</f>
        <v>-521230</v>
      </c>
      <c r="I39" s="3">
        <f t="shared" si="21"/>
        <v>-774629</v>
      </c>
      <c r="J39" s="3">
        <f t="shared" si="21"/>
        <v>-1036614</v>
      </c>
      <c r="K39" s="3">
        <f t="shared" si="21"/>
        <v>-258360</v>
      </c>
      <c r="L39" s="3">
        <f t="shared" si="21"/>
        <v>-524441</v>
      </c>
      <c r="M39" s="3">
        <f t="shared" si="21"/>
        <v>-789217</v>
      </c>
      <c r="N39" s="3">
        <f t="shared" ref="N39:S39" si="22">SUM(N25:N26)</f>
        <v>-1057466</v>
      </c>
      <c r="O39" s="3">
        <f t="shared" si="22"/>
        <v>-301331</v>
      </c>
      <c r="P39" s="3">
        <f t="shared" si="22"/>
        <v>-580809</v>
      </c>
      <c r="Q39" s="3">
        <f t="shared" si="22"/>
        <v>-858328.80698999995</v>
      </c>
      <c r="R39" s="3">
        <f t="shared" si="22"/>
        <v>-1149722.80699</v>
      </c>
      <c r="S39" s="3">
        <f t="shared" si="22"/>
        <v>-316822</v>
      </c>
      <c r="T39" s="3">
        <f>SUM(T25:T26)</f>
        <v>-605603</v>
      </c>
      <c r="U39" s="3">
        <f>SUM(U25:U26)</f>
        <v>-908373</v>
      </c>
      <c r="V39" s="3">
        <f t="shared" ref="V39:AJ39" si="23">+V26+V25</f>
        <v>-1213765</v>
      </c>
      <c r="W39" s="3">
        <f t="shared" si="23"/>
        <v>-351056</v>
      </c>
      <c r="X39" s="3">
        <f t="shared" si="23"/>
        <v>-682988</v>
      </c>
      <c r="Y39" s="3">
        <f t="shared" si="23"/>
        <v>-1109436</v>
      </c>
      <c r="Z39" s="3">
        <f t="shared" si="23"/>
        <v>-1545183</v>
      </c>
      <c r="AA39" s="3">
        <f t="shared" si="23"/>
        <v>-464566</v>
      </c>
      <c r="AB39" s="3">
        <f t="shared" si="23"/>
        <v>-815812</v>
      </c>
      <c r="AC39" s="3">
        <f t="shared" si="23"/>
        <v>-1176160</v>
      </c>
      <c r="AD39" s="3">
        <f t="shared" si="23"/>
        <v>-1542379</v>
      </c>
      <c r="AE39" s="3">
        <f t="shared" si="23"/>
        <v>-375885</v>
      </c>
      <c r="AF39" s="3">
        <f t="shared" si="23"/>
        <v>-705189</v>
      </c>
      <c r="AG39" s="3">
        <f t="shared" si="23"/>
        <v>-1057305</v>
      </c>
      <c r="AH39" s="3">
        <f t="shared" si="23"/>
        <v>-1440706</v>
      </c>
      <c r="AI39" s="3">
        <f t="shared" si="23"/>
        <v>-434626</v>
      </c>
      <c r="AJ39" s="3">
        <f t="shared" si="23"/>
        <v>-1058829</v>
      </c>
      <c r="BB39" s="28"/>
      <c r="BC39" s="28"/>
      <c r="BE39" s="28"/>
      <c r="BF39" s="28"/>
      <c r="BG39" s="28"/>
    </row>
    <row r="40" spans="1:59">
      <c r="A40" s="69" t="s">
        <v>218</v>
      </c>
    </row>
    <row r="41" spans="1:59">
      <c r="A41" s="69" t="s">
        <v>348</v>
      </c>
      <c r="B41" s="53"/>
    </row>
    <row r="42" spans="1:59">
      <c r="A42" s="171" t="s">
        <v>221</v>
      </c>
      <c r="B42" s="171" t="s">
        <v>223</v>
      </c>
      <c r="C42" s="12">
        <v>5878</v>
      </c>
      <c r="D42" s="12">
        <v>5883</v>
      </c>
      <c r="E42" s="12">
        <v>6134</v>
      </c>
      <c r="F42" s="12">
        <v>6108</v>
      </c>
      <c r="G42" s="12">
        <v>6000</v>
      </c>
      <c r="H42" s="12">
        <v>5939</v>
      </c>
      <c r="I42" s="12">
        <v>5917</v>
      </c>
      <c r="J42" s="12">
        <v>5911</v>
      </c>
      <c r="K42" s="12">
        <v>5877</v>
      </c>
      <c r="L42" s="12">
        <v>5897</v>
      </c>
      <c r="M42" s="12">
        <v>5839</v>
      </c>
      <c r="N42" s="12">
        <v>5844</v>
      </c>
      <c r="O42" s="12">
        <v>5854</v>
      </c>
      <c r="P42" s="12">
        <v>5865</v>
      </c>
      <c r="Q42" s="12">
        <v>5852</v>
      </c>
      <c r="R42" s="12">
        <v>5830</v>
      </c>
      <c r="S42" s="12">
        <v>5848</v>
      </c>
      <c r="T42" s="12">
        <v>5846</v>
      </c>
      <c r="U42" s="12">
        <v>5950</v>
      </c>
      <c r="V42" s="12">
        <v>6132</v>
      </c>
      <c r="W42" s="12">
        <v>6183</v>
      </c>
      <c r="X42" s="12">
        <v>8550</v>
      </c>
      <c r="Y42" s="12">
        <f>8564</f>
        <v>8564</v>
      </c>
      <c r="Z42" s="12">
        <v>8464</v>
      </c>
      <c r="AA42" s="12">
        <v>8412</v>
      </c>
      <c r="AB42" s="14">
        <v>8141</v>
      </c>
      <c r="AC42" s="14">
        <v>7846</v>
      </c>
      <c r="AD42" s="12">
        <v>7493</v>
      </c>
      <c r="AE42" s="12">
        <v>7238</v>
      </c>
      <c r="AF42" s="12">
        <v>7148</v>
      </c>
      <c r="AG42" s="12">
        <v>7035</v>
      </c>
      <c r="AH42" s="12">
        <v>6942.1500000000015</v>
      </c>
      <c r="AI42" s="12">
        <v>6842.3800000000019</v>
      </c>
      <c r="AJ42" s="12">
        <v>6735.18</v>
      </c>
    </row>
    <row r="43" spans="1:59">
      <c r="A43" s="171" t="s">
        <v>609</v>
      </c>
      <c r="B43" s="171" t="s">
        <v>610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>
        <v>7645.9799999999987</v>
      </c>
      <c r="AA43" s="12">
        <v>7629.52</v>
      </c>
      <c r="AB43" s="12">
        <v>7335.1100000000006</v>
      </c>
      <c r="AC43" s="12">
        <v>7014.11</v>
      </c>
      <c r="AD43" s="12">
        <v>6602</v>
      </c>
      <c r="AE43" s="12">
        <v>6450</v>
      </c>
      <c r="AF43" s="12">
        <v>6454</v>
      </c>
      <c r="AG43" s="12">
        <v>6366</v>
      </c>
      <c r="AH43" s="12">
        <v>6245.170000000001</v>
      </c>
      <c r="AI43" s="12">
        <v>6210.7800000000007</v>
      </c>
      <c r="AJ43" s="12">
        <v>6138.58</v>
      </c>
    </row>
    <row r="44" spans="1:59">
      <c r="A44" s="171" t="s">
        <v>222</v>
      </c>
      <c r="B44" s="171" t="s">
        <v>224</v>
      </c>
      <c r="C44" s="12">
        <v>435</v>
      </c>
      <c r="D44" s="12">
        <v>430</v>
      </c>
      <c r="E44" s="12">
        <v>426</v>
      </c>
      <c r="F44" s="12">
        <v>423</v>
      </c>
      <c r="G44" s="12">
        <v>418</v>
      </c>
      <c r="H44" s="12">
        <v>411</v>
      </c>
      <c r="I44" s="12">
        <v>410</v>
      </c>
      <c r="J44" s="12">
        <v>411</v>
      </c>
      <c r="K44" s="12">
        <v>406</v>
      </c>
      <c r="L44" s="12">
        <v>394</v>
      </c>
      <c r="M44" s="12">
        <v>381</v>
      </c>
      <c r="N44" s="12">
        <v>369</v>
      </c>
      <c r="O44" s="12">
        <v>365</v>
      </c>
      <c r="P44" s="12">
        <v>360</v>
      </c>
      <c r="Q44" s="12">
        <v>359</v>
      </c>
      <c r="R44" s="12">
        <v>355</v>
      </c>
      <c r="S44" s="12">
        <v>356</v>
      </c>
      <c r="T44" s="12">
        <v>359</v>
      </c>
      <c r="U44" s="12">
        <v>356</v>
      </c>
      <c r="V44" s="12">
        <v>361</v>
      </c>
      <c r="W44" s="6">
        <v>368</v>
      </c>
      <c r="X44" s="6">
        <v>839</v>
      </c>
      <c r="Y44" s="6">
        <v>833</v>
      </c>
      <c r="Z44" s="6">
        <v>830</v>
      </c>
      <c r="AA44" s="6">
        <v>799</v>
      </c>
      <c r="AB44" s="6">
        <v>766</v>
      </c>
      <c r="AC44" s="6">
        <v>726</v>
      </c>
      <c r="AD44" s="6">
        <v>702</v>
      </c>
      <c r="AE44" s="6">
        <v>678</v>
      </c>
      <c r="AF44" s="6">
        <v>676</v>
      </c>
      <c r="AG44" s="6">
        <v>665</v>
      </c>
      <c r="AH44" s="6">
        <v>655</v>
      </c>
      <c r="AI44" s="6">
        <v>646</v>
      </c>
      <c r="AJ44" s="6">
        <v>635</v>
      </c>
    </row>
    <row r="45" spans="1:59">
      <c r="A45" s="69" t="s">
        <v>611</v>
      </c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S45" s="28"/>
      <c r="AT45" s="28"/>
      <c r="AU45" s="28"/>
      <c r="AV45" s="28"/>
      <c r="AW45" s="28"/>
      <c r="AX45" s="28"/>
      <c r="AY45" s="28"/>
      <c r="AZ45" s="28"/>
      <c r="BA45" s="28"/>
    </row>
    <row r="46" spans="1:59"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S46" s="28"/>
      <c r="AT46" s="28"/>
      <c r="AU46" s="28"/>
      <c r="AV46" s="28"/>
      <c r="AW46" s="28"/>
      <c r="AX46" s="28"/>
      <c r="AY46" s="28"/>
      <c r="AZ46" s="28"/>
      <c r="BA46" s="28"/>
    </row>
    <row r="47" spans="1:59"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27"/>
      <c r="AS47" s="28"/>
      <c r="AT47" s="28"/>
      <c r="AU47" s="28"/>
      <c r="AV47" s="28"/>
      <c r="AW47" s="28"/>
      <c r="AX47" s="28"/>
      <c r="AY47" s="28"/>
      <c r="AZ47" s="28"/>
      <c r="BA47" s="28"/>
    </row>
    <row r="48" spans="1:59"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S48" s="28"/>
      <c r="AT48" s="28"/>
      <c r="AU48" s="28"/>
      <c r="AV48" s="28"/>
      <c r="AW48" s="28"/>
      <c r="AX48" s="28"/>
      <c r="AY48" s="28"/>
      <c r="AZ48" s="28"/>
      <c r="BA48" s="28"/>
    </row>
    <row r="49" spans="15:29"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</row>
    <row r="50" spans="15:29">
      <c r="O50" s="27"/>
      <c r="P50" s="27"/>
    </row>
  </sheetData>
  <pageMargins left="0.23622047244094491" right="0.23622047244094491" top="0.74803149606299213" bottom="0.74803149606299213" header="0.31496062992125984" footer="0.31496062992125984"/>
  <pageSetup paperSize="9" scale="57" orientation="landscape" r:id="rId1"/>
  <colBreaks count="1" manualBreakCount="1">
    <brk id="27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58"/>
  <sheetViews>
    <sheetView zoomScale="90" zoomScaleNormal="90" workbookViewId="0">
      <pane xSplit="1" topLeftCell="Q1" activePane="topRight" state="frozen"/>
      <selection pane="topRight" activeCell="S8" sqref="S8"/>
    </sheetView>
  </sheetViews>
  <sheetFormatPr defaultColWidth="8.75" defaultRowHeight="12" outlineLevelCol="1"/>
  <cols>
    <col min="1" max="1" width="41.25" style="1" customWidth="1"/>
    <col min="2" max="2" width="49.25" style="1" customWidth="1"/>
    <col min="3" max="3" width="14.75" style="1" hidden="1" customWidth="1" outlineLevel="1"/>
    <col min="4" max="10" width="11.08203125" style="1" hidden="1" customWidth="1" outlineLevel="1"/>
    <col min="11" max="11" width="11.08203125" style="1" customWidth="1" collapsed="1"/>
    <col min="12" max="12" width="11.08203125" style="1" customWidth="1"/>
    <col min="13" max="13" width="12.08203125" style="1" customWidth="1"/>
    <col min="14" max="14" width="12.33203125" style="1" customWidth="1"/>
    <col min="15" max="21" width="12.4140625" style="1" customWidth="1"/>
    <col min="22" max="22" width="11.6640625" style="1" customWidth="1"/>
    <col min="23" max="23" width="8.75" style="1"/>
    <col min="24" max="24" width="10.9140625" style="1" customWidth="1"/>
    <col min="25" max="16384" width="8.75" style="1"/>
  </cols>
  <sheetData>
    <row r="1" spans="1:24" ht="15.5">
      <c r="A1" s="83" t="s">
        <v>188</v>
      </c>
    </row>
    <row r="2" spans="1:24" ht="15.5">
      <c r="A2" s="83" t="s">
        <v>485</v>
      </c>
    </row>
    <row r="3" spans="1:24" s="190" customFormat="1">
      <c r="A3" s="282" t="s">
        <v>505</v>
      </c>
      <c r="B3" s="282" t="s">
        <v>204</v>
      </c>
      <c r="C3" s="254" t="s">
        <v>284</v>
      </c>
      <c r="D3" s="254" t="s">
        <v>314</v>
      </c>
      <c r="E3" s="254" t="s">
        <v>365</v>
      </c>
      <c r="F3" s="254" t="s">
        <v>406</v>
      </c>
      <c r="G3" s="254" t="s">
        <v>409</v>
      </c>
      <c r="H3" s="254" t="s">
        <v>413</v>
      </c>
      <c r="I3" s="254" t="s">
        <v>424</v>
      </c>
      <c r="J3" s="254" t="s">
        <v>429</v>
      </c>
      <c r="K3" s="254" t="s">
        <v>435</v>
      </c>
      <c r="L3" s="254" t="s">
        <v>511</v>
      </c>
      <c r="M3" s="254" t="s">
        <v>589</v>
      </c>
      <c r="N3" s="254" t="s">
        <v>595</v>
      </c>
      <c r="O3" s="254" t="s">
        <v>603</v>
      </c>
      <c r="P3" s="254" t="s">
        <v>613</v>
      </c>
      <c r="Q3" s="254" t="s">
        <v>627</v>
      </c>
      <c r="R3" s="254" t="s">
        <v>631</v>
      </c>
      <c r="S3" s="254" t="s">
        <v>638</v>
      </c>
      <c r="T3" s="254" t="s">
        <v>644</v>
      </c>
      <c r="U3" s="254" t="s">
        <v>647</v>
      </c>
    </row>
    <row r="4" spans="1:24">
      <c r="A4" s="283" t="s">
        <v>315</v>
      </c>
      <c r="B4" s="283" t="s">
        <v>316</v>
      </c>
      <c r="C4" s="97">
        <v>2080151</v>
      </c>
      <c r="D4" s="97">
        <v>2881456</v>
      </c>
      <c r="E4" s="97">
        <v>2146680</v>
      </c>
      <c r="F4" s="97">
        <v>2237361</v>
      </c>
      <c r="G4" s="97">
        <v>2450176</v>
      </c>
      <c r="H4" s="97">
        <v>1736975</v>
      </c>
      <c r="I4" s="97">
        <v>3396000</v>
      </c>
      <c r="J4" s="97">
        <v>3197632</v>
      </c>
      <c r="K4" s="97">
        <v>2203444</v>
      </c>
      <c r="L4" s="97">
        <v>2477540</v>
      </c>
      <c r="M4" s="97">
        <v>1224788</v>
      </c>
      <c r="N4" s="97">
        <v>1181740</v>
      </c>
      <c r="O4" s="97">
        <v>1460289.05</v>
      </c>
      <c r="P4" s="97">
        <v>2360647</v>
      </c>
      <c r="Q4" s="97">
        <v>2676407.0499999998</v>
      </c>
      <c r="R4" s="97">
        <v>1977706</v>
      </c>
      <c r="S4" s="97">
        <v>3179736</v>
      </c>
      <c r="T4" s="97">
        <v>8285941</v>
      </c>
      <c r="U4" s="97">
        <v>5810033</v>
      </c>
      <c r="V4" s="28"/>
      <c r="W4" s="28"/>
      <c r="X4" s="28"/>
    </row>
    <row r="5" spans="1:24">
      <c r="A5" s="283" t="s">
        <v>317</v>
      </c>
      <c r="B5" s="283" t="s">
        <v>318</v>
      </c>
      <c r="C5" s="97">
        <v>531125</v>
      </c>
      <c r="D5" s="97">
        <v>1800461</v>
      </c>
      <c r="E5" s="97">
        <v>1410008</v>
      </c>
      <c r="F5" s="97">
        <v>1259804</v>
      </c>
      <c r="G5" s="97">
        <v>794718</v>
      </c>
      <c r="H5" s="97">
        <v>871558</v>
      </c>
      <c r="I5" s="97">
        <v>796927</v>
      </c>
      <c r="J5" s="97">
        <v>876246</v>
      </c>
      <c r="K5" s="97">
        <v>986728</v>
      </c>
      <c r="L5" s="97">
        <v>795572</v>
      </c>
      <c r="M5" s="97">
        <v>479157</v>
      </c>
      <c r="N5" s="97">
        <v>480355</v>
      </c>
      <c r="O5" s="97">
        <v>423846.00245999999</v>
      </c>
      <c r="P5" s="97">
        <v>389800</v>
      </c>
      <c r="Q5" s="97">
        <v>226619.99225000001</v>
      </c>
      <c r="R5" s="97">
        <v>283545</v>
      </c>
      <c r="S5" s="97">
        <v>172483</v>
      </c>
      <c r="T5" s="97">
        <v>289033</v>
      </c>
      <c r="U5" s="97">
        <v>251444</v>
      </c>
      <c r="V5" s="28"/>
      <c r="W5" s="28"/>
      <c r="X5" s="28"/>
    </row>
    <row r="6" spans="1:24" ht="36">
      <c r="A6" s="283" t="s">
        <v>390</v>
      </c>
      <c r="B6" s="283" t="s">
        <v>366</v>
      </c>
      <c r="C6" s="97">
        <v>0</v>
      </c>
      <c r="D6" s="97">
        <v>49717</v>
      </c>
      <c r="E6" s="97">
        <v>57444</v>
      </c>
      <c r="F6" s="97">
        <v>61604</v>
      </c>
      <c r="G6" s="97">
        <v>64796</v>
      </c>
      <c r="H6" s="97">
        <v>73778</v>
      </c>
      <c r="I6" s="97">
        <v>98082</v>
      </c>
      <c r="J6" s="97">
        <v>147875</v>
      </c>
      <c r="K6" s="97">
        <v>169610</v>
      </c>
      <c r="L6" s="97">
        <v>169610</v>
      </c>
      <c r="M6" s="97">
        <v>177097</v>
      </c>
      <c r="N6" s="97">
        <v>188628</v>
      </c>
      <c r="O6" s="97">
        <v>251107</v>
      </c>
      <c r="P6" s="97">
        <v>255143</v>
      </c>
      <c r="Q6" s="97">
        <v>158516</v>
      </c>
      <c r="R6" s="97">
        <v>194622</v>
      </c>
      <c r="S6" s="97">
        <v>265903</v>
      </c>
      <c r="T6" s="97">
        <v>257121</v>
      </c>
      <c r="U6" s="97">
        <v>249085</v>
      </c>
      <c r="V6" s="28"/>
      <c r="W6" s="28"/>
      <c r="X6" s="28"/>
    </row>
    <row r="7" spans="1:24" ht="24">
      <c r="A7" s="283" t="s">
        <v>319</v>
      </c>
      <c r="B7" s="283" t="s">
        <v>320</v>
      </c>
      <c r="C7" s="97">
        <v>19066946</v>
      </c>
      <c r="D7" s="97">
        <v>18052112</v>
      </c>
      <c r="E7" s="97">
        <v>16967949</v>
      </c>
      <c r="F7" s="97">
        <v>16970243</v>
      </c>
      <c r="G7" s="97">
        <v>22133938</v>
      </c>
      <c r="H7" s="97">
        <v>22875843</v>
      </c>
      <c r="I7" s="97">
        <v>18725967</v>
      </c>
      <c r="J7" s="97">
        <v>21102026</v>
      </c>
      <c r="K7" s="97">
        <v>21870164</v>
      </c>
      <c r="L7" s="97">
        <v>22124985</v>
      </c>
      <c r="M7" s="97">
        <v>26105506</v>
      </c>
      <c r="N7" s="97">
        <v>24795607</v>
      </c>
      <c r="O7" s="97">
        <v>18642615.210999999</v>
      </c>
      <c r="P7" s="97">
        <v>22755127</v>
      </c>
      <c r="Q7" s="97">
        <v>22010922.204999998</v>
      </c>
      <c r="R7" s="97">
        <v>21015843</v>
      </c>
      <c r="S7" s="97">
        <v>17997699</v>
      </c>
      <c r="T7" s="97">
        <v>17707350</v>
      </c>
      <c r="U7" s="97">
        <v>17786074</v>
      </c>
      <c r="V7" s="28"/>
    </row>
    <row r="8" spans="1:24" ht="42" customHeight="1">
      <c r="A8" s="283" t="s">
        <v>394</v>
      </c>
      <c r="B8" s="283" t="s">
        <v>393</v>
      </c>
      <c r="C8" s="97">
        <v>47411078</v>
      </c>
      <c r="D8" s="97">
        <v>47999657</v>
      </c>
      <c r="E8" s="97">
        <v>50255867</v>
      </c>
      <c r="F8" s="97">
        <v>50915176</v>
      </c>
      <c r="G8" s="97">
        <v>52711680</v>
      </c>
      <c r="H8" s="97">
        <v>53939776</v>
      </c>
      <c r="I8" s="97">
        <v>67855209</v>
      </c>
      <c r="J8" s="97">
        <v>69481058</v>
      </c>
      <c r="K8" s="302">
        <v>69541667</v>
      </c>
      <c r="L8" s="302">
        <v>71971860</v>
      </c>
      <c r="M8" s="302">
        <v>71339609</v>
      </c>
      <c r="N8" s="302">
        <v>72421412</v>
      </c>
      <c r="O8" s="302">
        <v>73639342.1584481</v>
      </c>
      <c r="P8" s="302">
        <v>74635652</v>
      </c>
      <c r="Q8" s="97">
        <v>75794251.092729166</v>
      </c>
      <c r="R8" s="97">
        <v>77279678</v>
      </c>
      <c r="S8" s="97">
        <v>78603326</v>
      </c>
      <c r="T8" s="97">
        <v>78702577</v>
      </c>
      <c r="U8" s="97">
        <v>79341857</v>
      </c>
      <c r="V8" s="28"/>
      <c r="W8" s="28"/>
      <c r="X8" s="28"/>
    </row>
    <row r="9" spans="1:24" ht="24">
      <c r="A9" s="283" t="s">
        <v>391</v>
      </c>
      <c r="B9" s="283" t="s">
        <v>367</v>
      </c>
      <c r="C9" s="97">
        <f t="shared" ref="C9:P9" si="0">SUM(C10:C12)</f>
        <v>254205</v>
      </c>
      <c r="D9" s="97">
        <f t="shared" si="0"/>
        <v>637277</v>
      </c>
      <c r="E9" s="97">
        <f t="shared" si="0"/>
        <v>676243</v>
      </c>
      <c r="F9" s="97">
        <f t="shared" si="0"/>
        <v>645159</v>
      </c>
      <c r="G9" s="97">
        <f t="shared" si="0"/>
        <v>1026420</v>
      </c>
      <c r="H9" s="97">
        <f t="shared" si="0"/>
        <v>1256877</v>
      </c>
      <c r="I9" s="97">
        <f t="shared" si="0"/>
        <v>842182</v>
      </c>
      <c r="J9" s="97">
        <f t="shared" si="0"/>
        <v>1129766</v>
      </c>
      <c r="K9" s="97">
        <f t="shared" si="0"/>
        <v>1037869</v>
      </c>
      <c r="L9" s="97">
        <f t="shared" si="0"/>
        <v>2179225</v>
      </c>
      <c r="M9" s="97">
        <f t="shared" si="0"/>
        <v>985092</v>
      </c>
      <c r="N9" s="97">
        <f t="shared" si="0"/>
        <v>946625</v>
      </c>
      <c r="O9" s="97">
        <f t="shared" si="0"/>
        <v>730598.16163999995</v>
      </c>
      <c r="P9" s="97">
        <f t="shared" si="0"/>
        <v>668273</v>
      </c>
      <c r="Q9" s="97">
        <f t="shared" ref="Q9:U9" si="1">SUM(Q10:Q12)</f>
        <v>660924.38944000006</v>
      </c>
      <c r="R9" s="97">
        <f t="shared" si="1"/>
        <v>624781</v>
      </c>
      <c r="S9" s="97">
        <f t="shared" si="1"/>
        <v>1076456</v>
      </c>
      <c r="T9" s="97">
        <f t="shared" si="1"/>
        <v>1801672</v>
      </c>
      <c r="U9" s="97">
        <f t="shared" si="1"/>
        <v>2703565</v>
      </c>
      <c r="V9" s="28"/>
      <c r="W9" s="28"/>
      <c r="X9" s="28"/>
    </row>
    <row r="10" spans="1:24">
      <c r="A10" s="284" t="s">
        <v>45</v>
      </c>
      <c r="B10" s="284" t="s">
        <v>321</v>
      </c>
      <c r="C10" s="97">
        <v>0</v>
      </c>
      <c r="D10" s="97">
        <v>48166</v>
      </c>
      <c r="E10" s="97">
        <v>47446</v>
      </c>
      <c r="F10" s="97">
        <v>50290</v>
      </c>
      <c r="G10" s="97">
        <v>44884</v>
      </c>
      <c r="H10" s="97">
        <v>45039</v>
      </c>
      <c r="I10" s="97">
        <v>56881</v>
      </c>
      <c r="J10" s="97">
        <v>55353</v>
      </c>
      <c r="K10" s="97">
        <v>48153</v>
      </c>
      <c r="L10" s="97">
        <v>48355</v>
      </c>
      <c r="M10" s="97">
        <v>43879</v>
      </c>
      <c r="N10" s="97">
        <v>42946</v>
      </c>
      <c r="O10" s="97">
        <v>38818</v>
      </c>
      <c r="P10" s="97">
        <v>38902</v>
      </c>
      <c r="Q10" s="97">
        <v>37057</v>
      </c>
      <c r="R10" s="97">
        <v>37156</v>
      </c>
      <c r="S10" s="97">
        <v>37088</v>
      </c>
      <c r="T10" s="97">
        <v>789465</v>
      </c>
      <c r="U10" s="97">
        <v>1615236</v>
      </c>
      <c r="V10" s="28"/>
      <c r="W10" s="28"/>
      <c r="X10" s="28"/>
    </row>
    <row r="11" spans="1:24" ht="24">
      <c r="A11" s="284" t="s">
        <v>322</v>
      </c>
      <c r="B11" s="284" t="s">
        <v>323</v>
      </c>
      <c r="C11" s="97">
        <v>254205</v>
      </c>
      <c r="D11" s="97">
        <v>448155</v>
      </c>
      <c r="E11" s="97">
        <v>519950</v>
      </c>
      <c r="F11" s="97">
        <v>528384</v>
      </c>
      <c r="G11" s="97">
        <v>731252</v>
      </c>
      <c r="H11" s="97">
        <v>414429</v>
      </c>
      <c r="I11" s="97">
        <v>711642</v>
      </c>
      <c r="J11" s="97">
        <v>1023868</v>
      </c>
      <c r="K11" s="97">
        <v>784277</v>
      </c>
      <c r="L11" s="97">
        <v>2018927</v>
      </c>
      <c r="M11" s="97">
        <v>875837</v>
      </c>
      <c r="N11" s="97">
        <v>862165</v>
      </c>
      <c r="O11" s="97">
        <v>625430.16163999995</v>
      </c>
      <c r="P11" s="97">
        <v>605247</v>
      </c>
      <c r="Q11" s="97">
        <v>605506.38944000006</v>
      </c>
      <c r="R11" s="97">
        <v>578225</v>
      </c>
      <c r="S11" s="97">
        <v>770531</v>
      </c>
      <c r="T11" s="97">
        <v>986269</v>
      </c>
      <c r="U11" s="97">
        <v>1080106</v>
      </c>
      <c r="V11" s="28"/>
      <c r="W11" s="28"/>
      <c r="X11" s="28"/>
    </row>
    <row r="12" spans="1:24">
      <c r="A12" s="284" t="s">
        <v>325</v>
      </c>
      <c r="B12" s="284" t="s">
        <v>326</v>
      </c>
      <c r="C12" s="97">
        <v>0</v>
      </c>
      <c r="D12" s="97">
        <v>140956</v>
      </c>
      <c r="E12" s="97">
        <v>108847</v>
      </c>
      <c r="F12" s="97">
        <v>66485</v>
      </c>
      <c r="G12" s="97">
        <v>250284</v>
      </c>
      <c r="H12" s="97">
        <v>797409</v>
      </c>
      <c r="I12" s="97">
        <v>73659</v>
      </c>
      <c r="J12" s="97">
        <v>50545</v>
      </c>
      <c r="K12" s="97">
        <v>205439</v>
      </c>
      <c r="L12" s="97">
        <v>111943</v>
      </c>
      <c r="M12" s="97">
        <v>65376</v>
      </c>
      <c r="N12" s="97">
        <v>41514</v>
      </c>
      <c r="O12" s="97">
        <v>66350</v>
      </c>
      <c r="P12" s="97">
        <v>24124</v>
      </c>
      <c r="Q12" s="97">
        <v>18361</v>
      </c>
      <c r="R12" s="97">
        <v>9400</v>
      </c>
      <c r="S12" s="97">
        <v>268837</v>
      </c>
      <c r="T12" s="97">
        <v>25938</v>
      </c>
      <c r="U12" s="97">
        <v>8223</v>
      </c>
      <c r="V12" s="28"/>
      <c r="W12" s="28"/>
      <c r="X12" s="28"/>
    </row>
    <row r="13" spans="1:24">
      <c r="A13" s="283" t="s">
        <v>491</v>
      </c>
      <c r="B13" s="283" t="s">
        <v>328</v>
      </c>
      <c r="C13" s="97">
        <v>885880</v>
      </c>
      <c r="D13" s="97">
        <v>516107</v>
      </c>
      <c r="E13" s="97">
        <v>166304</v>
      </c>
      <c r="F13" s="97">
        <v>192167</v>
      </c>
      <c r="G13" s="97">
        <v>125501</v>
      </c>
      <c r="H13" s="97">
        <v>87516</v>
      </c>
      <c r="I13" s="97">
        <v>99864</v>
      </c>
      <c r="J13" s="97">
        <v>8886</v>
      </c>
      <c r="K13" s="97">
        <v>43159</v>
      </c>
      <c r="L13" s="97">
        <v>22195</v>
      </c>
      <c r="M13" s="97">
        <v>86775</v>
      </c>
      <c r="N13" s="97">
        <v>29350</v>
      </c>
      <c r="O13" s="97">
        <v>21795</v>
      </c>
      <c r="P13" s="97">
        <v>33301</v>
      </c>
      <c r="Q13" s="97">
        <v>38102</v>
      </c>
      <c r="R13" s="97">
        <v>4953</v>
      </c>
      <c r="S13" s="97">
        <v>14385</v>
      </c>
      <c r="T13" s="97">
        <v>52245</v>
      </c>
      <c r="U13" s="97">
        <v>0</v>
      </c>
      <c r="V13" s="28"/>
      <c r="W13" s="28"/>
      <c r="X13" s="28"/>
    </row>
    <row r="14" spans="1:24" ht="24">
      <c r="A14" s="283" t="s">
        <v>329</v>
      </c>
      <c r="B14" s="283" t="s">
        <v>330</v>
      </c>
      <c r="C14" s="97">
        <v>0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R14" s="97">
        <v>0</v>
      </c>
      <c r="S14" s="97">
        <v>0.20073002530261874</v>
      </c>
      <c r="T14" s="97">
        <v>0</v>
      </c>
      <c r="U14" s="97">
        <v>0</v>
      </c>
      <c r="V14" s="28"/>
      <c r="W14" s="28"/>
      <c r="X14" s="28"/>
    </row>
    <row r="15" spans="1:24">
      <c r="A15" s="283" t="s">
        <v>331</v>
      </c>
      <c r="B15" s="283" t="s">
        <v>125</v>
      </c>
      <c r="C15" s="97">
        <v>265636</v>
      </c>
      <c r="D15" s="97">
        <v>259513</v>
      </c>
      <c r="E15" s="97">
        <v>264462</v>
      </c>
      <c r="F15" s="97">
        <v>263983</v>
      </c>
      <c r="G15" s="97">
        <v>307105</v>
      </c>
      <c r="H15" s="97">
        <v>630743</v>
      </c>
      <c r="I15" s="97">
        <v>928228</v>
      </c>
      <c r="J15" s="97">
        <v>968451</v>
      </c>
      <c r="K15" s="97">
        <v>1008983</v>
      </c>
      <c r="L15" s="97">
        <v>972992</v>
      </c>
      <c r="M15" s="97">
        <v>971227</v>
      </c>
      <c r="N15" s="97">
        <v>940631</v>
      </c>
      <c r="O15" s="97">
        <v>956594.12795877585</v>
      </c>
      <c r="P15" s="97">
        <v>929275</v>
      </c>
      <c r="Q15" s="97">
        <v>911695.617108776</v>
      </c>
      <c r="R15" s="97">
        <v>911057</v>
      </c>
      <c r="S15" s="97">
        <v>942226</v>
      </c>
      <c r="T15" s="97">
        <v>935816</v>
      </c>
      <c r="U15" s="97">
        <v>937757</v>
      </c>
      <c r="V15" s="28"/>
      <c r="W15" s="28"/>
      <c r="X15" s="28"/>
    </row>
    <row r="16" spans="1:24" ht="12.5" thickBot="1">
      <c r="A16" s="283" t="s">
        <v>332</v>
      </c>
      <c r="B16" s="283" t="s">
        <v>126</v>
      </c>
      <c r="C16" s="97">
        <v>646394</v>
      </c>
      <c r="D16" s="97">
        <v>812983</v>
      </c>
      <c r="E16" s="97">
        <v>720881</v>
      </c>
      <c r="F16" s="97">
        <v>862817</v>
      </c>
      <c r="G16" s="97">
        <v>844580</v>
      </c>
      <c r="H16" s="97">
        <v>833727</v>
      </c>
      <c r="I16" s="97">
        <v>927846</v>
      </c>
      <c r="J16" s="97">
        <v>1002195</v>
      </c>
      <c r="K16" s="97">
        <v>981047</v>
      </c>
      <c r="L16" s="97">
        <v>1143105</v>
      </c>
      <c r="M16" s="97">
        <v>1041147</v>
      </c>
      <c r="N16" s="97">
        <v>1093813</v>
      </c>
      <c r="O16" s="97">
        <v>1196597.84864</v>
      </c>
      <c r="P16" s="97">
        <v>1338964</v>
      </c>
      <c r="Q16" s="97">
        <v>1629592.021855366</v>
      </c>
      <c r="R16" s="97">
        <v>1499295</v>
      </c>
      <c r="S16" s="97">
        <v>1661694</v>
      </c>
      <c r="T16" s="97">
        <v>1724210</v>
      </c>
      <c r="U16" s="97">
        <v>1778401</v>
      </c>
      <c r="V16" s="28"/>
      <c r="W16" s="28"/>
      <c r="X16" s="28"/>
    </row>
    <row r="17" spans="1:24" ht="12.5" thickBot="1">
      <c r="A17" s="285" t="s">
        <v>40</v>
      </c>
      <c r="B17" s="285" t="s">
        <v>127</v>
      </c>
      <c r="C17" s="269">
        <f t="shared" ref="C17:H17" si="2">SUM(C4:C8,C9,C13:C16)</f>
        <v>71141415</v>
      </c>
      <c r="D17" s="269">
        <f t="shared" si="2"/>
        <v>73009283</v>
      </c>
      <c r="E17" s="269">
        <f t="shared" si="2"/>
        <v>72665838</v>
      </c>
      <c r="F17" s="269">
        <f t="shared" si="2"/>
        <v>73408314</v>
      </c>
      <c r="G17" s="269">
        <f t="shared" si="2"/>
        <v>80458914</v>
      </c>
      <c r="H17" s="269">
        <f t="shared" si="2"/>
        <v>82306793</v>
      </c>
      <c r="I17" s="269">
        <f>SUM(I4:I8,I9,I13:I16)</f>
        <v>93670305</v>
      </c>
      <c r="J17" s="269">
        <f>SUM(J4:J8,J9,J13:J16)</f>
        <v>97914135</v>
      </c>
      <c r="K17" s="269">
        <f>98055942-139548</f>
        <v>97916394</v>
      </c>
      <c r="L17" s="269">
        <f t="shared" ref="L17:U17" si="3">SUM(L4:L9,L13:L16)</f>
        <v>101857084</v>
      </c>
      <c r="M17" s="269">
        <f t="shared" si="3"/>
        <v>102410398</v>
      </c>
      <c r="N17" s="269">
        <f t="shared" si="3"/>
        <v>102078161</v>
      </c>
      <c r="O17" s="269">
        <f t="shared" si="3"/>
        <v>97322784.560146868</v>
      </c>
      <c r="P17" s="269">
        <f t="shared" si="3"/>
        <v>103366182</v>
      </c>
      <c r="Q17" s="269">
        <f t="shared" si="3"/>
        <v>104107030.36838332</v>
      </c>
      <c r="R17" s="269">
        <f t="shared" si="3"/>
        <v>103791480</v>
      </c>
      <c r="S17" s="269">
        <f t="shared" si="3"/>
        <v>103913908.20073003</v>
      </c>
      <c r="T17" s="269">
        <f t="shared" si="3"/>
        <v>109755965</v>
      </c>
      <c r="U17" s="269">
        <f t="shared" si="3"/>
        <v>108858216</v>
      </c>
      <c r="V17" s="28"/>
      <c r="W17" s="28"/>
      <c r="X17" s="28"/>
    </row>
    <row r="18" spans="1:24">
      <c r="V18" s="28"/>
      <c r="W18" s="28"/>
      <c r="X18" s="28"/>
    </row>
    <row r="19" spans="1:24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</row>
    <row r="20" spans="1:24" s="190" customFormat="1">
      <c r="A20" s="282" t="s">
        <v>506</v>
      </c>
      <c r="B20" s="282" t="s">
        <v>206</v>
      </c>
      <c r="C20" s="254" t="s">
        <v>284</v>
      </c>
      <c r="D20" s="254" t="s">
        <v>314</v>
      </c>
      <c r="E20" s="254" t="s">
        <v>365</v>
      </c>
      <c r="F20" s="254" t="s">
        <v>406</v>
      </c>
      <c r="G20" s="254" t="s">
        <v>409</v>
      </c>
      <c r="H20" s="254" t="s">
        <v>413</v>
      </c>
      <c r="I20" s="254" t="s">
        <v>424</v>
      </c>
      <c r="J20" s="254" t="s">
        <v>429</v>
      </c>
      <c r="K20" s="254" t="s">
        <v>435</v>
      </c>
      <c r="L20" s="254" t="s">
        <v>511</v>
      </c>
      <c r="M20" s="254" t="s">
        <v>589</v>
      </c>
      <c r="N20" s="254" t="s">
        <v>595</v>
      </c>
      <c r="O20" s="254" t="s">
        <v>603</v>
      </c>
      <c r="P20" s="254" t="s">
        <v>613</v>
      </c>
      <c r="Q20" s="254" t="s">
        <v>627</v>
      </c>
      <c r="R20" s="254" t="s">
        <v>631</v>
      </c>
      <c r="S20" s="254" t="s">
        <v>638</v>
      </c>
      <c r="T20" s="254" t="s">
        <v>644</v>
      </c>
      <c r="U20" s="254" t="s">
        <v>647</v>
      </c>
      <c r="V20" s="286"/>
      <c r="W20" s="286"/>
      <c r="X20" s="286"/>
    </row>
    <row r="21" spans="1:24">
      <c r="A21" s="287" t="s">
        <v>333</v>
      </c>
      <c r="B21" s="288" t="s">
        <v>334</v>
      </c>
      <c r="C21" s="22">
        <v>190111</v>
      </c>
      <c r="D21" s="22">
        <v>256708</v>
      </c>
      <c r="E21" s="22">
        <v>236119</v>
      </c>
      <c r="F21" s="22">
        <v>157516</v>
      </c>
      <c r="G21" s="22">
        <v>231633</v>
      </c>
      <c r="H21" s="22">
        <v>214804</v>
      </c>
      <c r="I21" s="22">
        <v>232231</v>
      </c>
      <c r="J21" s="22">
        <v>150169</v>
      </c>
      <c r="K21" s="22">
        <v>353000</v>
      </c>
      <c r="L21" s="22">
        <v>312949</v>
      </c>
      <c r="M21" s="22">
        <v>200229</v>
      </c>
      <c r="N21" s="22">
        <v>156426</v>
      </c>
      <c r="O21" s="22">
        <v>168552.764</v>
      </c>
      <c r="P21" s="22">
        <v>83964</v>
      </c>
      <c r="Q21" s="22">
        <v>77594.375080000013</v>
      </c>
      <c r="R21" s="22">
        <v>109499</v>
      </c>
      <c r="S21" s="22">
        <v>143016</v>
      </c>
      <c r="T21" s="22">
        <v>219321</v>
      </c>
      <c r="U21" s="22">
        <v>248957</v>
      </c>
      <c r="V21" s="28"/>
      <c r="W21" s="28"/>
      <c r="X21" s="28"/>
    </row>
    <row r="22" spans="1:24">
      <c r="A22" s="287" t="s">
        <v>335</v>
      </c>
      <c r="B22" s="288" t="s">
        <v>336</v>
      </c>
      <c r="C22" s="22">
        <f t="shared" ref="C22:H22" si="4">SUM(C23:C27)</f>
        <v>61484830</v>
      </c>
      <c r="D22" s="22">
        <f t="shared" si="4"/>
        <v>63329416</v>
      </c>
      <c r="E22" s="22">
        <f t="shared" si="4"/>
        <v>62502145</v>
      </c>
      <c r="F22" s="22">
        <f t="shared" si="4"/>
        <v>63304899</v>
      </c>
      <c r="G22" s="22">
        <f t="shared" si="4"/>
        <v>69594512</v>
      </c>
      <c r="H22" s="22">
        <f t="shared" si="4"/>
        <v>71038795</v>
      </c>
      <c r="I22" s="22">
        <f t="shared" ref="I22:U22" si="5">SUM(I23:I27)</f>
        <v>81873385</v>
      </c>
      <c r="J22" s="22">
        <f t="shared" si="5"/>
        <v>85241599</v>
      </c>
      <c r="K22" s="22">
        <f t="shared" si="5"/>
        <v>85853762</v>
      </c>
      <c r="L22" s="22">
        <f t="shared" si="5"/>
        <v>88802162</v>
      </c>
      <c r="M22" s="22">
        <f t="shared" si="5"/>
        <v>89996642</v>
      </c>
      <c r="N22" s="22">
        <f t="shared" si="5"/>
        <v>89604569</v>
      </c>
      <c r="O22" s="22">
        <f t="shared" si="5"/>
        <v>84915527.179399997</v>
      </c>
      <c r="P22" s="22">
        <f t="shared" si="5"/>
        <v>91052766</v>
      </c>
      <c r="Q22" s="22">
        <f t="shared" si="5"/>
        <v>92591374.237389997</v>
      </c>
      <c r="R22" s="22">
        <f t="shared" si="5"/>
        <v>92609308</v>
      </c>
      <c r="S22" s="22">
        <f t="shared" si="5"/>
        <v>93585673</v>
      </c>
      <c r="T22" s="22">
        <f t="shared" si="5"/>
        <v>99539430</v>
      </c>
      <c r="U22" s="22">
        <f t="shared" si="5"/>
        <v>98222501</v>
      </c>
      <c r="V22" s="28"/>
      <c r="W22" s="28"/>
      <c r="X22" s="28"/>
    </row>
    <row r="23" spans="1:24" ht="24">
      <c r="A23" s="289" t="s">
        <v>337</v>
      </c>
      <c r="B23" s="290" t="s">
        <v>338</v>
      </c>
      <c r="C23" s="22">
        <v>2353131</v>
      </c>
      <c r="D23" s="22">
        <v>1981886</v>
      </c>
      <c r="E23" s="22">
        <v>1165688</v>
      </c>
      <c r="F23" s="22">
        <v>1630516</v>
      </c>
      <c r="G23" s="22">
        <v>1788857</v>
      </c>
      <c r="H23" s="22">
        <v>1868210</v>
      </c>
      <c r="I23" s="22">
        <v>1908263</v>
      </c>
      <c r="J23" s="22">
        <v>1756132</v>
      </c>
      <c r="K23" s="22">
        <v>1578848</v>
      </c>
      <c r="L23" s="22">
        <v>1516541</v>
      </c>
      <c r="M23" s="22">
        <v>1429762</v>
      </c>
      <c r="N23" s="22">
        <v>1105330</v>
      </c>
      <c r="O23" s="22">
        <v>1057651.58189</v>
      </c>
      <c r="P23" s="22">
        <v>825526</v>
      </c>
      <c r="Q23" s="22">
        <v>742312.75057000108</v>
      </c>
      <c r="R23" s="22">
        <v>529445</v>
      </c>
      <c r="S23" s="22">
        <v>539408</v>
      </c>
      <c r="T23" s="22">
        <v>646646</v>
      </c>
      <c r="U23" s="22">
        <v>546837</v>
      </c>
      <c r="V23" s="28"/>
      <c r="W23" s="28"/>
      <c r="X23" s="28"/>
    </row>
    <row r="24" spans="1:24">
      <c r="A24" s="289" t="s">
        <v>339</v>
      </c>
      <c r="B24" s="290" t="s">
        <v>129</v>
      </c>
      <c r="C24" s="22">
        <v>57273255</v>
      </c>
      <c r="D24" s="22">
        <v>59473880</v>
      </c>
      <c r="E24" s="22">
        <v>59831479</v>
      </c>
      <c r="F24" s="22">
        <v>60222668</v>
      </c>
      <c r="G24" s="22">
        <v>66243769</v>
      </c>
      <c r="H24" s="22">
        <v>66672620</v>
      </c>
      <c r="I24" s="22">
        <v>76827811</v>
      </c>
      <c r="J24" s="22">
        <v>80341143</v>
      </c>
      <c r="K24" s="22">
        <v>81454765</v>
      </c>
      <c r="L24" s="22">
        <v>83583600</v>
      </c>
      <c r="M24" s="22">
        <v>86254625</v>
      </c>
      <c r="N24" s="22">
        <v>85852463</v>
      </c>
      <c r="O24" s="22">
        <v>81510540.315479994</v>
      </c>
      <c r="P24" s="22">
        <v>88254606</v>
      </c>
      <c r="Q24" s="22">
        <v>89998486.924290001</v>
      </c>
      <c r="R24" s="22">
        <v>90250053</v>
      </c>
      <c r="S24" s="22">
        <v>91447515</v>
      </c>
      <c r="T24" s="22">
        <v>97304820</v>
      </c>
      <c r="U24" s="22">
        <v>96122029</v>
      </c>
      <c r="V24" s="28"/>
      <c r="W24" s="28"/>
      <c r="X24" s="28"/>
    </row>
    <row r="25" spans="1:24">
      <c r="A25" s="289" t="s">
        <v>325</v>
      </c>
      <c r="B25" s="290" t="s">
        <v>326</v>
      </c>
      <c r="C25" s="22">
        <v>0</v>
      </c>
      <c r="D25" s="22">
        <v>0</v>
      </c>
      <c r="E25" s="22">
        <v>94285</v>
      </c>
      <c r="F25" s="22">
        <v>11272</v>
      </c>
      <c r="G25" s="22">
        <v>50324</v>
      </c>
      <c r="H25" s="22">
        <v>55759</v>
      </c>
      <c r="I25" s="22">
        <v>20990</v>
      </c>
      <c r="J25" s="22">
        <v>52036</v>
      </c>
      <c r="K25" s="22">
        <v>90712</v>
      </c>
      <c r="L25" s="22">
        <v>1056303</v>
      </c>
      <c r="M25" s="22">
        <v>0</v>
      </c>
      <c r="N25" s="22">
        <v>448535</v>
      </c>
      <c r="O25" s="22">
        <v>248566</v>
      </c>
      <c r="P25" s="22">
        <v>9980</v>
      </c>
      <c r="Q25" s="22">
        <v>0</v>
      </c>
      <c r="R25" s="22">
        <v>0</v>
      </c>
      <c r="S25" s="22">
        <v>18038</v>
      </c>
      <c r="T25" s="22">
        <v>27</v>
      </c>
      <c r="U25" s="22">
        <v>0</v>
      </c>
      <c r="V25" s="28"/>
      <c r="W25" s="28"/>
      <c r="X25" s="28"/>
    </row>
    <row r="26" spans="1:24">
      <c r="A26" s="289" t="s">
        <v>340</v>
      </c>
      <c r="B26" s="290" t="s">
        <v>341</v>
      </c>
      <c r="C26" s="22">
        <v>1156473</v>
      </c>
      <c r="D26" s="22">
        <v>1164585</v>
      </c>
      <c r="E26" s="22">
        <v>708893</v>
      </c>
      <c r="F26" s="22">
        <v>731445</v>
      </c>
      <c r="G26" s="22">
        <v>809679</v>
      </c>
      <c r="H26" s="22">
        <v>897591</v>
      </c>
      <c r="I26" s="22">
        <v>1469990</v>
      </c>
      <c r="J26" s="22">
        <v>1447129</v>
      </c>
      <c r="K26" s="22">
        <v>1183232</v>
      </c>
      <c r="L26" s="22">
        <v>1101040</v>
      </c>
      <c r="M26" s="22">
        <v>767017</v>
      </c>
      <c r="N26" s="22">
        <v>658917</v>
      </c>
      <c r="O26" s="22">
        <v>558560.28203</v>
      </c>
      <c r="P26" s="22">
        <v>423600</v>
      </c>
      <c r="Q26" s="22">
        <v>310693.56253</v>
      </c>
      <c r="R26" s="22">
        <v>290594</v>
      </c>
      <c r="S26" s="22">
        <v>39568</v>
      </c>
      <c r="T26" s="22">
        <v>39644</v>
      </c>
      <c r="U26" s="22">
        <v>0</v>
      </c>
      <c r="V26" s="28"/>
      <c r="W26" s="28"/>
      <c r="X26" s="28"/>
    </row>
    <row r="27" spans="1:24">
      <c r="A27" s="289" t="s">
        <v>48</v>
      </c>
      <c r="B27" s="290" t="s">
        <v>134</v>
      </c>
      <c r="C27" s="22">
        <v>701971</v>
      </c>
      <c r="D27" s="22">
        <v>709065</v>
      </c>
      <c r="E27" s="22">
        <v>701800</v>
      </c>
      <c r="F27" s="22">
        <v>708998</v>
      </c>
      <c r="G27" s="22">
        <v>701883</v>
      </c>
      <c r="H27" s="22">
        <v>1544615</v>
      </c>
      <c r="I27" s="22">
        <v>1646331</v>
      </c>
      <c r="J27" s="22">
        <v>1645159</v>
      </c>
      <c r="K27" s="22">
        <v>1546205</v>
      </c>
      <c r="L27" s="22">
        <v>1544678</v>
      </c>
      <c r="M27" s="22">
        <v>1545238</v>
      </c>
      <c r="N27" s="22">
        <v>1539324</v>
      </c>
      <c r="O27" s="22">
        <v>1540209</v>
      </c>
      <c r="P27" s="22">
        <v>1539054</v>
      </c>
      <c r="Q27" s="22">
        <v>1539881</v>
      </c>
      <c r="R27" s="22">
        <v>1539216</v>
      </c>
      <c r="S27" s="22">
        <v>1541144</v>
      </c>
      <c r="T27" s="22">
        <v>1548293</v>
      </c>
      <c r="U27" s="22">
        <v>1553635</v>
      </c>
      <c r="V27" s="28"/>
      <c r="W27" s="28"/>
      <c r="X27" s="28"/>
    </row>
    <row r="28" spans="1:24">
      <c r="A28" s="287" t="s">
        <v>327</v>
      </c>
      <c r="B28" s="288" t="s">
        <v>328</v>
      </c>
      <c r="C28" s="22">
        <v>176853</v>
      </c>
      <c r="D28" s="22">
        <v>193014</v>
      </c>
      <c r="E28" s="22">
        <v>506560</v>
      </c>
      <c r="F28" s="22">
        <v>358955</v>
      </c>
      <c r="G28" s="22">
        <v>376811</v>
      </c>
      <c r="H28" s="22">
        <v>367337</v>
      </c>
      <c r="I28" s="22">
        <v>339276</v>
      </c>
      <c r="J28" s="22">
        <v>677936</v>
      </c>
      <c r="K28" s="22">
        <v>426847</v>
      </c>
      <c r="L28" s="22">
        <v>1277724</v>
      </c>
      <c r="M28" s="22">
        <v>678043</v>
      </c>
      <c r="N28" s="22">
        <v>653259</v>
      </c>
      <c r="O28" s="22">
        <v>738850</v>
      </c>
      <c r="P28" s="22">
        <v>485502</v>
      </c>
      <c r="Q28" s="22">
        <v>251303</v>
      </c>
      <c r="R28" s="22">
        <v>334770</v>
      </c>
      <c r="S28" s="22">
        <v>614573</v>
      </c>
      <c r="T28" s="22">
        <v>661003</v>
      </c>
      <c r="U28" s="22">
        <v>832073</v>
      </c>
      <c r="V28" s="28"/>
      <c r="W28" s="28"/>
      <c r="X28" s="28"/>
    </row>
    <row r="29" spans="1:24">
      <c r="A29" s="287" t="s">
        <v>342</v>
      </c>
      <c r="B29" s="288" t="s">
        <v>343</v>
      </c>
      <c r="C29" s="22">
        <v>67752</v>
      </c>
      <c r="D29" s="22">
        <v>103718</v>
      </c>
      <c r="E29" s="22">
        <v>116115</v>
      </c>
      <c r="F29" s="22">
        <v>120132</v>
      </c>
      <c r="G29" s="22">
        <v>112452</v>
      </c>
      <c r="H29" s="22">
        <v>104881</v>
      </c>
      <c r="I29" s="22">
        <v>108335</v>
      </c>
      <c r="J29" s="22">
        <v>111059</v>
      </c>
      <c r="K29" s="303">
        <v>91455</v>
      </c>
      <c r="L29" s="303">
        <v>198443</v>
      </c>
      <c r="M29" s="303">
        <v>114398</v>
      </c>
      <c r="N29" s="303">
        <v>218225</v>
      </c>
      <c r="O29" s="303">
        <v>158650</v>
      </c>
      <c r="P29" s="303">
        <v>473184</v>
      </c>
      <c r="Q29" s="22">
        <v>408300.63</v>
      </c>
      <c r="R29" s="22">
        <v>378644</v>
      </c>
      <c r="S29" s="22">
        <v>595530</v>
      </c>
      <c r="T29" s="22">
        <v>721054</v>
      </c>
      <c r="U29" s="22">
        <v>759094</v>
      </c>
      <c r="V29" s="28"/>
      <c r="W29" s="28"/>
      <c r="X29" s="28"/>
    </row>
    <row r="30" spans="1:24" ht="12.5" thickBot="1">
      <c r="A30" s="287" t="s">
        <v>344</v>
      </c>
      <c r="B30" s="288" t="s">
        <v>133</v>
      </c>
      <c r="C30" s="22">
        <v>1449270</v>
      </c>
      <c r="D30" s="22">
        <v>1394490</v>
      </c>
      <c r="E30" s="22">
        <v>1397199</v>
      </c>
      <c r="F30" s="22">
        <v>1355412</v>
      </c>
      <c r="G30" s="22">
        <v>1759120</v>
      </c>
      <c r="H30" s="22">
        <v>2063784</v>
      </c>
      <c r="I30" s="22">
        <v>2412881</v>
      </c>
      <c r="J30" s="22">
        <v>2811936</v>
      </c>
      <c r="K30" s="22">
        <v>2176088</v>
      </c>
      <c r="L30" s="22">
        <v>2250310</v>
      </c>
      <c r="M30" s="22">
        <v>2221243</v>
      </c>
      <c r="N30" s="22">
        <v>2223600</v>
      </c>
      <c r="O30" s="22">
        <v>2250228.56177</v>
      </c>
      <c r="P30" s="22">
        <v>2583431</v>
      </c>
      <c r="Q30" s="22">
        <v>2402147.3511782368</v>
      </c>
      <c r="R30" s="22">
        <v>2380495</v>
      </c>
      <c r="S30" s="22">
        <v>2277870</v>
      </c>
      <c r="T30" s="22">
        <v>2417482</v>
      </c>
      <c r="U30" s="22">
        <v>3016855</v>
      </c>
      <c r="V30" s="28"/>
      <c r="W30" s="28"/>
      <c r="X30" s="28"/>
    </row>
    <row r="31" spans="1:24" ht="12.5" thickBot="1">
      <c r="A31" s="285" t="s">
        <v>49</v>
      </c>
      <c r="B31" s="291" t="s">
        <v>135</v>
      </c>
      <c r="C31" s="25">
        <f t="shared" ref="C31:H31" si="6">SUM(C21:C22,C28:C30)</f>
        <v>63368816</v>
      </c>
      <c r="D31" s="25">
        <f t="shared" si="6"/>
        <v>65277346</v>
      </c>
      <c r="E31" s="25">
        <f t="shared" si="6"/>
        <v>64758138</v>
      </c>
      <c r="F31" s="25">
        <f t="shared" si="6"/>
        <v>65296914</v>
      </c>
      <c r="G31" s="25">
        <f t="shared" si="6"/>
        <v>72074528</v>
      </c>
      <c r="H31" s="25">
        <f t="shared" si="6"/>
        <v>73789601</v>
      </c>
      <c r="I31" s="25">
        <f>SUM(I21:I22,I28:I30)</f>
        <v>84966108</v>
      </c>
      <c r="J31" s="25">
        <f>SUM(J21:J22,J28:J30)</f>
        <v>88992699</v>
      </c>
      <c r="K31" s="25">
        <f>89114423-139548</f>
        <v>88974875</v>
      </c>
      <c r="L31" s="25">
        <f t="shared" ref="L31:U31" si="7">SUM(L21:L22,L28:L30)</f>
        <v>92841588</v>
      </c>
      <c r="M31" s="25">
        <f t="shared" si="7"/>
        <v>93210555</v>
      </c>
      <c r="N31" s="25">
        <f t="shared" si="7"/>
        <v>92856079</v>
      </c>
      <c r="O31" s="25">
        <f t="shared" si="7"/>
        <v>88231808.505170003</v>
      </c>
      <c r="P31" s="25">
        <f t="shared" si="7"/>
        <v>94678847</v>
      </c>
      <c r="Q31" s="25">
        <f t="shared" si="7"/>
        <v>95730719.59364824</v>
      </c>
      <c r="R31" s="25">
        <f t="shared" si="7"/>
        <v>95812716</v>
      </c>
      <c r="S31" s="25">
        <f t="shared" si="7"/>
        <v>97216662</v>
      </c>
      <c r="T31" s="25">
        <f t="shared" si="7"/>
        <v>103558290</v>
      </c>
      <c r="U31" s="25">
        <f t="shared" si="7"/>
        <v>103079480</v>
      </c>
      <c r="V31" s="28"/>
      <c r="W31" s="28"/>
      <c r="X31" s="28"/>
    </row>
    <row r="32" spans="1:24">
      <c r="A32" s="292" t="s">
        <v>50</v>
      </c>
      <c r="B32" s="293" t="s">
        <v>136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8"/>
      <c r="W32" s="28"/>
      <c r="X32" s="28"/>
    </row>
    <row r="33" spans="1:24">
      <c r="A33" s="283" t="s">
        <v>345</v>
      </c>
      <c r="B33" s="272" t="s">
        <v>137</v>
      </c>
      <c r="C33" s="24">
        <v>1213117</v>
      </c>
      <c r="D33" s="24">
        <v>1213117</v>
      </c>
      <c r="E33" s="24">
        <v>1213117</v>
      </c>
      <c r="F33" s="24">
        <v>1213117</v>
      </c>
      <c r="G33" s="24">
        <v>1213117</v>
      </c>
      <c r="H33" s="24">
        <v>1213117</v>
      </c>
      <c r="I33" s="24">
        <v>1213117</v>
      </c>
      <c r="J33" s="24">
        <v>1213117</v>
      </c>
      <c r="K33" s="24">
        <v>1213117</v>
      </c>
      <c r="L33" s="24">
        <v>1213117</v>
      </c>
      <c r="M33" s="24">
        <v>1213117</v>
      </c>
      <c r="N33" s="24">
        <v>1213117</v>
      </c>
      <c r="O33" s="270">
        <v>1213117</v>
      </c>
      <c r="P33" s="270">
        <v>1213117</v>
      </c>
      <c r="Q33" s="270">
        <v>1213117</v>
      </c>
      <c r="R33" s="270">
        <v>1213117</v>
      </c>
      <c r="S33" s="270">
        <v>1213117</v>
      </c>
      <c r="T33" s="270">
        <v>1213117</v>
      </c>
      <c r="U33" s="270">
        <v>1213117</v>
      </c>
      <c r="V33" s="28"/>
      <c r="W33" s="28"/>
      <c r="X33" s="28"/>
    </row>
    <row r="34" spans="1:24">
      <c r="A34" s="283" t="s">
        <v>639</v>
      </c>
      <c r="B34" s="272" t="s">
        <v>598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-3120</v>
      </c>
      <c r="O34" s="270">
        <v>-21</v>
      </c>
      <c r="P34" s="270">
        <v>-21</v>
      </c>
      <c r="Q34" s="270">
        <v>-3386</v>
      </c>
      <c r="R34" s="270">
        <v>-3395</v>
      </c>
      <c r="S34" s="270">
        <v>-21</v>
      </c>
      <c r="T34" s="270">
        <v>-21</v>
      </c>
      <c r="U34" s="270">
        <v>-21</v>
      </c>
      <c r="V34" s="28"/>
      <c r="W34" s="28"/>
      <c r="X34" s="28"/>
    </row>
    <row r="35" spans="1:24">
      <c r="A35" s="283" t="s">
        <v>52</v>
      </c>
      <c r="B35" s="272" t="s">
        <v>138</v>
      </c>
      <c r="C35" s="24">
        <v>1147502</v>
      </c>
      <c r="D35" s="24">
        <v>1147502</v>
      </c>
      <c r="E35" s="24">
        <v>1147502</v>
      </c>
      <c r="F35" s="24">
        <v>1147502</v>
      </c>
      <c r="G35" s="24">
        <v>1147502</v>
      </c>
      <c r="H35" s="24">
        <v>1147502</v>
      </c>
      <c r="I35" s="24">
        <v>1147502</v>
      </c>
      <c r="J35" s="24">
        <v>1147502</v>
      </c>
      <c r="K35" s="24">
        <v>1147502</v>
      </c>
      <c r="L35" s="24">
        <v>1147502</v>
      </c>
      <c r="M35" s="24">
        <v>1147502</v>
      </c>
      <c r="N35" s="24">
        <v>1147502</v>
      </c>
      <c r="O35" s="270">
        <v>1147502</v>
      </c>
      <c r="P35" s="270">
        <v>1147502</v>
      </c>
      <c r="Q35" s="270">
        <v>1147502</v>
      </c>
      <c r="R35" s="270">
        <v>1147502</v>
      </c>
      <c r="S35" s="270">
        <v>1147502</v>
      </c>
      <c r="T35" s="270">
        <v>1147502</v>
      </c>
      <c r="U35" s="270">
        <v>1147502</v>
      </c>
      <c r="V35" s="28"/>
      <c r="W35" s="28"/>
      <c r="X35" s="28"/>
    </row>
    <row r="36" spans="1:24">
      <c r="A36" s="283" t="s">
        <v>346</v>
      </c>
      <c r="B36" s="272" t="s">
        <v>347</v>
      </c>
      <c r="C36" s="24">
        <v>-34795</v>
      </c>
      <c r="D36" s="24">
        <v>26618</v>
      </c>
      <c r="E36" s="24">
        <v>9712</v>
      </c>
      <c r="F36" s="24">
        <v>13223</v>
      </c>
      <c r="G36" s="24">
        <v>73692</v>
      </c>
      <c r="H36" s="24">
        <v>46532</v>
      </c>
      <c r="I36" s="24">
        <v>59880</v>
      </c>
      <c r="J36" s="24">
        <v>76979</v>
      </c>
      <c r="K36" s="24">
        <v>70093</v>
      </c>
      <c r="L36" s="24">
        <v>125941</v>
      </c>
      <c r="M36" s="24">
        <v>256693</v>
      </c>
      <c r="N36" s="24">
        <v>221906</v>
      </c>
      <c r="O36" s="270">
        <v>199857</v>
      </c>
      <c r="P36" s="270">
        <v>107554</v>
      </c>
      <c r="Q36" s="270">
        <v>204.26818999999455</v>
      </c>
      <c r="R36" s="270">
        <v>-86025</v>
      </c>
      <c r="S36" s="270">
        <v>-858633</v>
      </c>
      <c r="T36" s="270">
        <v>-1235864</v>
      </c>
      <c r="U36" s="270">
        <v>-1509919</v>
      </c>
      <c r="V36" s="28"/>
      <c r="W36" s="28"/>
      <c r="X36" s="28"/>
    </row>
    <row r="37" spans="1:24">
      <c r="A37" s="283" t="s">
        <v>54</v>
      </c>
      <c r="B37" s="272" t="s">
        <v>140</v>
      </c>
      <c r="C37" s="24">
        <v>5446775</v>
      </c>
      <c r="D37" s="24">
        <v>5344700</v>
      </c>
      <c r="E37" s="24">
        <v>5537369</v>
      </c>
      <c r="F37" s="24">
        <v>5737558</v>
      </c>
      <c r="G37" s="24">
        <v>5950075</v>
      </c>
      <c r="H37" s="24">
        <v>6110041</v>
      </c>
      <c r="I37" s="24">
        <v>6283698</v>
      </c>
      <c r="J37" s="24">
        <v>6483838</v>
      </c>
      <c r="K37" s="24">
        <v>6510807</v>
      </c>
      <c r="L37" s="24">
        <v>6528936</v>
      </c>
      <c r="M37" s="24">
        <v>6582531</v>
      </c>
      <c r="N37" s="24">
        <v>6642677</v>
      </c>
      <c r="O37" s="270">
        <v>6530521</v>
      </c>
      <c r="P37" s="270">
        <v>6219183</v>
      </c>
      <c r="Q37" s="270">
        <v>6018873.0271621207</v>
      </c>
      <c r="R37" s="270">
        <v>5707565</v>
      </c>
      <c r="S37" s="270">
        <v>5195281</v>
      </c>
      <c r="T37" s="270">
        <v>5072941</v>
      </c>
      <c r="U37" s="270">
        <v>4928057</v>
      </c>
    </row>
    <row r="38" spans="1:24">
      <c r="A38" s="283" t="s">
        <v>55</v>
      </c>
      <c r="B38" s="272" t="s">
        <v>141</v>
      </c>
      <c r="C38" s="24">
        <f t="shared" ref="C38:L38" si="8">SUM(C33:C37)</f>
        <v>7772599</v>
      </c>
      <c r="D38" s="24">
        <f t="shared" si="8"/>
        <v>7731937</v>
      </c>
      <c r="E38" s="24">
        <f t="shared" si="8"/>
        <v>7907700</v>
      </c>
      <c r="F38" s="24">
        <f t="shared" si="8"/>
        <v>8111400</v>
      </c>
      <c r="G38" s="24">
        <f t="shared" si="8"/>
        <v>8384386</v>
      </c>
      <c r="H38" s="24">
        <f t="shared" si="8"/>
        <v>8517192</v>
      </c>
      <c r="I38" s="24">
        <f t="shared" si="8"/>
        <v>8704197</v>
      </c>
      <c r="J38" s="24">
        <f t="shared" si="8"/>
        <v>8921436</v>
      </c>
      <c r="K38" s="24">
        <f t="shared" si="8"/>
        <v>8941519</v>
      </c>
      <c r="L38" s="24">
        <f t="shared" si="8"/>
        <v>9015496</v>
      </c>
      <c r="M38" s="24">
        <f t="shared" ref="M38:U38" si="9">SUM(M33:M37)</f>
        <v>9199843</v>
      </c>
      <c r="N38" s="24">
        <f t="shared" si="9"/>
        <v>9222082</v>
      </c>
      <c r="O38" s="24">
        <f t="shared" si="9"/>
        <v>9090976</v>
      </c>
      <c r="P38" s="24">
        <f t="shared" si="9"/>
        <v>8687335</v>
      </c>
      <c r="Q38" s="24">
        <f t="shared" si="9"/>
        <v>8376310.2953521209</v>
      </c>
      <c r="R38" s="24">
        <f t="shared" si="9"/>
        <v>7978764</v>
      </c>
      <c r="S38" s="24">
        <f t="shared" si="9"/>
        <v>6697246</v>
      </c>
      <c r="T38" s="24">
        <f t="shared" si="9"/>
        <v>6197675</v>
      </c>
      <c r="U38" s="24">
        <f t="shared" si="9"/>
        <v>5778736</v>
      </c>
      <c r="V38" s="28"/>
      <c r="W38" s="28"/>
      <c r="X38" s="28"/>
    </row>
    <row r="39" spans="1:24" ht="12.5" thickBot="1">
      <c r="A39" s="283" t="s">
        <v>19</v>
      </c>
      <c r="B39" s="272" t="s">
        <v>142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8"/>
      <c r="W39" s="28"/>
      <c r="X39" s="28"/>
    </row>
    <row r="40" spans="1:24" ht="12.5" thickBot="1">
      <c r="A40" s="285" t="s">
        <v>56</v>
      </c>
      <c r="B40" s="291" t="s">
        <v>143</v>
      </c>
      <c r="C40" s="25">
        <f t="shared" ref="C40:H40" si="10">+C39+C38</f>
        <v>7772599</v>
      </c>
      <c r="D40" s="25">
        <f t="shared" si="10"/>
        <v>7731937</v>
      </c>
      <c r="E40" s="25">
        <f t="shared" si="10"/>
        <v>7907700</v>
      </c>
      <c r="F40" s="25">
        <f t="shared" si="10"/>
        <v>8111400</v>
      </c>
      <c r="G40" s="25">
        <f t="shared" si="10"/>
        <v>8384386</v>
      </c>
      <c r="H40" s="25">
        <f t="shared" si="10"/>
        <v>8517192</v>
      </c>
      <c r="I40" s="25">
        <f>+I39+I38</f>
        <v>8704197</v>
      </c>
      <c r="J40" s="25">
        <f>+J39+J38</f>
        <v>8921436</v>
      </c>
      <c r="K40" s="25">
        <v>8941519</v>
      </c>
      <c r="L40" s="25">
        <f t="shared" ref="L40:U40" si="11">+L39+L38</f>
        <v>9015496</v>
      </c>
      <c r="M40" s="25">
        <f t="shared" si="11"/>
        <v>9199843</v>
      </c>
      <c r="N40" s="25">
        <f t="shared" si="11"/>
        <v>9222082</v>
      </c>
      <c r="O40" s="25">
        <f t="shared" si="11"/>
        <v>9090976</v>
      </c>
      <c r="P40" s="25">
        <f t="shared" si="11"/>
        <v>8687335</v>
      </c>
      <c r="Q40" s="25">
        <f t="shared" si="11"/>
        <v>8376310.2953521209</v>
      </c>
      <c r="R40" s="25">
        <f t="shared" si="11"/>
        <v>7978764</v>
      </c>
      <c r="S40" s="25">
        <f t="shared" si="11"/>
        <v>6697246</v>
      </c>
      <c r="T40" s="25">
        <f t="shared" si="11"/>
        <v>6197675</v>
      </c>
      <c r="U40" s="25">
        <f t="shared" si="11"/>
        <v>5778736</v>
      </c>
    </row>
    <row r="41" spans="1:24" ht="12.5" thickBot="1">
      <c r="A41" s="285" t="s">
        <v>57</v>
      </c>
      <c r="B41" s="291" t="s">
        <v>144</v>
      </c>
      <c r="C41" s="269">
        <f t="shared" ref="C41:U41" si="12">+C40+C31</f>
        <v>71141415</v>
      </c>
      <c r="D41" s="269">
        <f t="shared" si="12"/>
        <v>73009283</v>
      </c>
      <c r="E41" s="269">
        <f t="shared" si="12"/>
        <v>72665838</v>
      </c>
      <c r="F41" s="269">
        <f t="shared" si="12"/>
        <v>73408314</v>
      </c>
      <c r="G41" s="269">
        <f t="shared" si="12"/>
        <v>80458914</v>
      </c>
      <c r="H41" s="269">
        <f t="shared" si="12"/>
        <v>82306793</v>
      </c>
      <c r="I41" s="269">
        <f t="shared" si="12"/>
        <v>93670305</v>
      </c>
      <c r="J41" s="269">
        <f t="shared" si="12"/>
        <v>97914135</v>
      </c>
      <c r="K41" s="269">
        <f t="shared" si="12"/>
        <v>97916394</v>
      </c>
      <c r="L41" s="269">
        <f t="shared" si="12"/>
        <v>101857084</v>
      </c>
      <c r="M41" s="269">
        <f t="shared" si="12"/>
        <v>102410398</v>
      </c>
      <c r="N41" s="269">
        <f t="shared" si="12"/>
        <v>102078161</v>
      </c>
      <c r="O41" s="269">
        <f t="shared" si="12"/>
        <v>97322784.505170003</v>
      </c>
      <c r="P41" s="269">
        <f t="shared" si="12"/>
        <v>103366182</v>
      </c>
      <c r="Q41" s="269">
        <f t="shared" si="12"/>
        <v>104107029.88900036</v>
      </c>
      <c r="R41" s="269">
        <f t="shared" si="12"/>
        <v>103791480</v>
      </c>
      <c r="S41" s="269">
        <f t="shared" si="12"/>
        <v>103913908</v>
      </c>
      <c r="T41" s="269">
        <f t="shared" si="12"/>
        <v>109755965</v>
      </c>
      <c r="U41" s="269">
        <f t="shared" si="12"/>
        <v>108858216</v>
      </c>
      <c r="V41" s="28"/>
      <c r="W41" s="28"/>
      <c r="X41" s="28"/>
    </row>
    <row r="42" spans="1:24">
      <c r="V42" s="28"/>
      <c r="X42" s="28"/>
    </row>
    <row r="43" spans="1:24"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8"/>
      <c r="W43" s="28"/>
      <c r="X43" s="28"/>
    </row>
    <row r="44" spans="1:24"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</row>
    <row r="45" spans="1:24">
      <c r="I45" s="294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8"/>
      <c r="W45" s="28"/>
      <c r="X45" s="28"/>
    </row>
    <row r="46" spans="1:24">
      <c r="I46" s="296"/>
      <c r="K46" s="297"/>
      <c r="L46" s="297"/>
      <c r="M46" s="297"/>
      <c r="N46" s="297"/>
      <c r="O46" s="297"/>
      <c r="P46" s="297"/>
      <c r="Q46" s="297"/>
      <c r="R46" s="297"/>
      <c r="S46" s="297"/>
      <c r="T46" s="297"/>
      <c r="U46" s="297"/>
      <c r="V46" s="28"/>
      <c r="W46" s="28"/>
      <c r="X46" s="28"/>
    </row>
    <row r="47" spans="1:24">
      <c r="I47" s="298"/>
      <c r="M47" s="299"/>
      <c r="O47" s="299"/>
      <c r="P47" s="299"/>
      <c r="Q47" s="299"/>
      <c r="R47" s="299"/>
      <c r="S47" s="299"/>
      <c r="T47" s="299"/>
      <c r="U47" s="299"/>
      <c r="V47" s="28"/>
      <c r="W47" s="28"/>
      <c r="X47" s="28"/>
    </row>
    <row r="48" spans="1:24">
      <c r="I48" s="300"/>
      <c r="M48" s="297"/>
      <c r="O48" s="297"/>
      <c r="P48" s="297"/>
      <c r="Q48" s="297"/>
      <c r="R48" s="297"/>
      <c r="S48" s="297"/>
      <c r="T48" s="297"/>
      <c r="U48" s="297"/>
    </row>
    <row r="49" spans="9:21">
      <c r="I49" s="298"/>
      <c r="M49" s="299"/>
      <c r="O49" s="299"/>
      <c r="P49" s="299"/>
      <c r="Q49" s="299"/>
      <c r="R49" s="299"/>
      <c r="S49" s="299"/>
      <c r="T49" s="299"/>
      <c r="U49" s="299"/>
    </row>
    <row r="50" spans="9:21">
      <c r="I50" s="298"/>
      <c r="M50" s="299"/>
      <c r="O50" s="299"/>
      <c r="P50" s="299"/>
      <c r="Q50" s="299"/>
      <c r="R50" s="299"/>
      <c r="S50" s="299"/>
      <c r="T50" s="299"/>
      <c r="U50" s="299"/>
    </row>
    <row r="56" spans="9:21">
      <c r="K56" s="27"/>
      <c r="L56" s="27"/>
      <c r="M56" s="27"/>
      <c r="N56" s="27"/>
      <c r="O56" s="27"/>
      <c r="P56" s="27"/>
    </row>
    <row r="58" spans="9:21">
      <c r="K58" s="27"/>
      <c r="L58" s="27"/>
      <c r="M58" s="27"/>
      <c r="N58" s="27"/>
      <c r="O58" s="27"/>
      <c r="P58" s="27"/>
    </row>
  </sheetData>
  <dataConsolidate/>
  <pageMargins left="0.51181102362204722" right="0.51181102362204722" top="0.55118110236220474" bottom="0.55118110236220474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O90"/>
  <sheetViews>
    <sheetView zoomScale="90" zoomScaleNormal="90" workbookViewId="0">
      <pane xSplit="2" ySplit="5" topLeftCell="AF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8.75" defaultRowHeight="12" outlineLevelCol="1"/>
  <cols>
    <col min="1" max="1" width="30.08203125" style="1" customWidth="1"/>
    <col min="2" max="2" width="33.08203125" style="1" customWidth="1"/>
    <col min="3" max="3" width="10.75" style="1" hidden="1" customWidth="1"/>
    <col min="4" max="4" width="10.33203125" style="1" hidden="1" customWidth="1"/>
    <col min="5" max="5" width="10" style="1" hidden="1" customWidth="1"/>
    <col min="6" max="6" width="12.25" style="1" hidden="1" customWidth="1"/>
    <col min="7" max="7" width="12.25" style="1" hidden="1" customWidth="1" collapsed="1"/>
    <col min="8" max="9" width="11.33203125" style="1" hidden="1" customWidth="1"/>
    <col min="10" max="10" width="12.25" style="1" hidden="1" customWidth="1"/>
    <col min="11" max="17" width="11.25" style="1" hidden="1" customWidth="1"/>
    <col min="18" max="18" width="12.08203125" style="1" hidden="1" customWidth="1" outlineLevel="1"/>
    <col min="19" max="19" width="12.75" style="1" hidden="1" customWidth="1" outlineLevel="1"/>
    <col min="20" max="21" width="11.25" style="1" hidden="1" customWidth="1" outlineLevel="1"/>
    <col min="22" max="22" width="11.25" style="1" customWidth="1" collapsed="1"/>
    <col min="23" max="29" width="11.25" style="1" customWidth="1"/>
    <col min="30" max="31" width="11.58203125" style="1" customWidth="1"/>
    <col min="32" max="32" width="10.1640625" style="1" customWidth="1"/>
    <col min="33" max="34" width="10.08203125" style="1" customWidth="1"/>
    <col min="35" max="35" width="9.5" style="1" customWidth="1"/>
    <col min="36" max="36" width="11.5" style="1" customWidth="1"/>
    <col min="37" max="37" width="13.58203125" style="1" customWidth="1"/>
    <col min="38" max="38" width="9" style="1" bestFit="1" customWidth="1"/>
    <col min="39" max="16384" width="8.75" style="1"/>
  </cols>
  <sheetData>
    <row r="1" spans="1:41" ht="15.5">
      <c r="A1" s="83" t="s">
        <v>487</v>
      </c>
      <c r="S1" s="28"/>
      <c r="T1" s="28"/>
      <c r="U1" s="28"/>
      <c r="V1" s="28"/>
      <c r="W1" s="28"/>
      <c r="X1" s="28"/>
      <c r="Y1" s="28"/>
      <c r="Z1" s="28"/>
      <c r="AG1" s="53"/>
      <c r="AH1" s="53"/>
      <c r="AI1" s="53"/>
      <c r="AK1" s="53"/>
      <c r="AL1" s="53"/>
      <c r="AM1" s="53"/>
      <c r="AN1" s="53"/>
      <c r="AO1" s="53"/>
    </row>
    <row r="2" spans="1:41" ht="15.5">
      <c r="A2" s="83" t="s">
        <v>486</v>
      </c>
      <c r="S2" s="28"/>
      <c r="T2" s="28"/>
      <c r="U2" s="28"/>
      <c r="V2" s="28"/>
      <c r="W2" s="28"/>
      <c r="X2" s="28"/>
      <c r="Y2" s="28"/>
      <c r="Z2" s="28"/>
      <c r="AG2" s="53"/>
      <c r="AH2" s="53"/>
      <c r="AI2" s="53"/>
      <c r="AJ2"/>
      <c r="AK2" s="53"/>
      <c r="AL2" s="53"/>
      <c r="AM2" s="53"/>
      <c r="AN2" s="53"/>
      <c r="AO2" s="53"/>
    </row>
    <row r="3" spans="1:41" ht="15.5">
      <c r="A3" s="83" t="s">
        <v>23</v>
      </c>
      <c r="B3" s="83" t="s">
        <v>172</v>
      </c>
      <c r="S3" s="28"/>
      <c r="T3" s="28"/>
      <c r="U3" s="28"/>
      <c r="V3" s="28"/>
      <c r="W3" s="28"/>
      <c r="X3" s="210"/>
      <c r="Y3" s="210"/>
      <c r="Z3" s="210"/>
      <c r="AG3" s="53"/>
      <c r="AH3" s="53"/>
      <c r="AI3" s="53"/>
      <c r="AJ3"/>
      <c r="AK3" s="53"/>
      <c r="AL3" s="53"/>
      <c r="AM3" s="53"/>
      <c r="AN3" s="53"/>
      <c r="AO3" s="53"/>
    </row>
    <row r="4" spans="1:41" ht="15.5">
      <c r="A4" s="83"/>
      <c r="B4" s="83"/>
      <c r="S4" s="28"/>
      <c r="T4" s="28"/>
      <c r="U4" s="28"/>
      <c r="V4" s="28"/>
      <c r="W4" s="28"/>
      <c r="X4" s="28"/>
      <c r="Y4" s="28"/>
      <c r="Z4" s="28"/>
      <c r="AD4" s="114"/>
      <c r="AE4" s="114"/>
      <c r="AG4" s="53"/>
      <c r="AH4" s="53"/>
      <c r="AI4" s="53"/>
      <c r="AK4" s="53"/>
      <c r="AL4" s="53"/>
      <c r="AM4" s="53"/>
      <c r="AN4" s="53"/>
      <c r="AO4" s="53"/>
    </row>
    <row r="5" spans="1:41" ht="24">
      <c r="A5" s="171" t="s">
        <v>507</v>
      </c>
      <c r="B5" s="171" t="s">
        <v>492</v>
      </c>
      <c r="C5" s="100" t="s">
        <v>190</v>
      </c>
      <c r="D5" s="100" t="s">
        <v>193</v>
      </c>
      <c r="E5" s="100" t="s">
        <v>198</v>
      </c>
      <c r="F5" s="100" t="s">
        <v>214</v>
      </c>
      <c r="G5" s="100" t="s">
        <v>220</v>
      </c>
      <c r="H5" s="100" t="s">
        <v>236</v>
      </c>
      <c r="I5" s="100" t="s">
        <v>241</v>
      </c>
      <c r="J5" s="100" t="s">
        <v>244</v>
      </c>
      <c r="K5" s="100" t="s">
        <v>246</v>
      </c>
      <c r="L5" s="100" t="s">
        <v>254</v>
      </c>
      <c r="M5" s="100" t="s">
        <v>255</v>
      </c>
      <c r="N5" s="100" t="s">
        <v>261</v>
      </c>
      <c r="O5" s="100" t="s">
        <v>263</v>
      </c>
      <c r="P5" s="100" t="s">
        <v>274</v>
      </c>
      <c r="Q5" s="100" t="s">
        <v>279</v>
      </c>
      <c r="R5" s="100" t="s">
        <v>284</v>
      </c>
      <c r="S5" s="189" t="s">
        <v>314</v>
      </c>
      <c r="T5" s="189" t="s">
        <v>365</v>
      </c>
      <c r="U5" s="189" t="s">
        <v>406</v>
      </c>
      <c r="V5" s="189" t="s">
        <v>409</v>
      </c>
      <c r="W5" s="189" t="s">
        <v>413</v>
      </c>
      <c r="X5" s="189" t="s">
        <v>424</v>
      </c>
      <c r="Y5" s="189" t="s">
        <v>429</v>
      </c>
      <c r="Z5" s="189" t="s">
        <v>435</v>
      </c>
      <c r="AA5" s="271" t="s">
        <v>511</v>
      </c>
      <c r="AB5" s="271" t="s">
        <v>589</v>
      </c>
      <c r="AC5" s="271" t="s">
        <v>595</v>
      </c>
      <c r="AD5" s="271" t="s">
        <v>603</v>
      </c>
      <c r="AE5" s="271" t="s">
        <v>613</v>
      </c>
      <c r="AF5" s="271" t="s">
        <v>627</v>
      </c>
      <c r="AG5" s="271" t="s">
        <v>631</v>
      </c>
      <c r="AH5" s="271" t="s">
        <v>638</v>
      </c>
      <c r="AI5" s="271" t="s">
        <v>644</v>
      </c>
      <c r="AJ5" s="271" t="s">
        <v>647</v>
      </c>
      <c r="AK5" s="53"/>
      <c r="AL5" s="53"/>
      <c r="AM5" s="53"/>
      <c r="AN5" s="53"/>
      <c r="AO5" s="53"/>
    </row>
    <row r="6" spans="1:41">
      <c r="A6" s="168" t="s">
        <v>89</v>
      </c>
      <c r="B6" s="168" t="s">
        <v>178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>
        <f>+R7+R8</f>
        <v>32953080.368969999</v>
      </c>
      <c r="S6" s="116">
        <f t="shared" ref="S6:AJ6" si="0">SUM(S7:S8)</f>
        <v>32367428</v>
      </c>
      <c r="T6" s="116">
        <f t="shared" si="0"/>
        <v>33791034</v>
      </c>
      <c r="U6" s="116">
        <f t="shared" si="0"/>
        <v>34291606</v>
      </c>
      <c r="V6" s="116">
        <f t="shared" si="0"/>
        <v>35096046</v>
      </c>
      <c r="W6" s="116">
        <f t="shared" si="0"/>
        <v>35822471</v>
      </c>
      <c r="X6" s="116">
        <f t="shared" si="0"/>
        <v>49384114</v>
      </c>
      <c r="Y6" s="116">
        <f t="shared" si="0"/>
        <v>51026906</v>
      </c>
      <c r="Z6" s="116">
        <f t="shared" si="0"/>
        <v>50877734</v>
      </c>
      <c r="AA6" s="272">
        <f t="shared" si="0"/>
        <v>52929331</v>
      </c>
      <c r="AB6" s="272">
        <f t="shared" si="0"/>
        <v>53226276</v>
      </c>
      <c r="AC6" s="272">
        <f t="shared" si="0"/>
        <v>54416901.934799999</v>
      </c>
      <c r="AD6" s="272">
        <f t="shared" si="0"/>
        <v>55387602</v>
      </c>
      <c r="AE6" s="272">
        <f t="shared" si="0"/>
        <v>56299989</v>
      </c>
      <c r="AF6" s="272">
        <f t="shared" si="0"/>
        <v>57214964</v>
      </c>
      <c r="AG6" s="272">
        <f t="shared" si="0"/>
        <v>59765347</v>
      </c>
      <c r="AH6" s="272">
        <f t="shared" si="0"/>
        <v>61074656</v>
      </c>
      <c r="AI6" s="272">
        <f t="shared" si="0"/>
        <v>61114644</v>
      </c>
      <c r="AJ6" s="272">
        <f t="shared" si="0"/>
        <v>61222458</v>
      </c>
      <c r="AK6" s="53"/>
      <c r="AL6" s="53"/>
      <c r="AM6" s="53"/>
      <c r="AN6" s="53"/>
      <c r="AO6" s="53"/>
    </row>
    <row r="7" spans="1:41">
      <c r="A7" s="168" t="s">
        <v>85</v>
      </c>
      <c r="B7" s="168" t="s">
        <v>179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>
        <v>26104033</v>
      </c>
      <c r="S7" s="116">
        <v>26395261</v>
      </c>
      <c r="T7" s="116">
        <v>27500015</v>
      </c>
      <c r="U7" s="116">
        <v>27775690</v>
      </c>
      <c r="V7" s="116">
        <v>28319185</v>
      </c>
      <c r="W7" s="116">
        <v>28739026</v>
      </c>
      <c r="X7" s="116">
        <v>35347859</v>
      </c>
      <c r="Y7" s="116">
        <v>36574200</v>
      </c>
      <c r="Z7" s="116">
        <f>36571683-139540</f>
        <v>36432143</v>
      </c>
      <c r="AA7" s="272">
        <v>38333719</v>
      </c>
      <c r="AB7" s="272">
        <v>38599043</v>
      </c>
      <c r="AC7" s="272">
        <v>39628824</v>
      </c>
      <c r="AD7" s="272">
        <v>40551677</v>
      </c>
      <c r="AE7" s="116">
        <v>41383482</v>
      </c>
      <c r="AF7" s="272">
        <v>42098210</v>
      </c>
      <c r="AG7" s="272">
        <v>43028499</v>
      </c>
      <c r="AH7" s="272">
        <v>44288635</v>
      </c>
      <c r="AI7" s="272">
        <v>44410553.079610012</v>
      </c>
      <c r="AJ7" s="272">
        <v>44505514.230020486</v>
      </c>
      <c r="AK7" s="145"/>
      <c r="AL7" s="145"/>
      <c r="AM7" s="53"/>
      <c r="AN7" s="53"/>
      <c r="AO7" s="53"/>
    </row>
    <row r="8" spans="1:41">
      <c r="A8" s="168" t="s">
        <v>86</v>
      </c>
      <c r="B8" s="168" t="s">
        <v>180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>
        <v>6849047.3689699993</v>
      </c>
      <c r="S8" s="116">
        <v>5972167</v>
      </c>
      <c r="T8" s="116">
        <v>6291019</v>
      </c>
      <c r="U8" s="116">
        <v>6515916</v>
      </c>
      <c r="V8" s="116">
        <v>6776861</v>
      </c>
      <c r="W8" s="116">
        <v>7083445</v>
      </c>
      <c r="X8" s="116">
        <v>14036255</v>
      </c>
      <c r="Y8" s="116">
        <v>14452706</v>
      </c>
      <c r="Z8" s="116">
        <v>14445591</v>
      </c>
      <c r="AA8" s="272">
        <v>14595612</v>
      </c>
      <c r="AB8" s="272">
        <v>14627233</v>
      </c>
      <c r="AC8" s="272">
        <v>14788077.934799999</v>
      </c>
      <c r="AD8" s="272">
        <v>14835925</v>
      </c>
      <c r="AE8" s="116">
        <v>14916507</v>
      </c>
      <c r="AF8" s="272">
        <v>15116754</v>
      </c>
      <c r="AG8" s="272">
        <v>16736848</v>
      </c>
      <c r="AH8" s="272">
        <v>16786021</v>
      </c>
      <c r="AI8" s="272">
        <f>61114644-AI7</f>
        <v>16704090.920389988</v>
      </c>
      <c r="AJ8" s="272">
        <f>61222458-AJ7</f>
        <v>16716943.769979514</v>
      </c>
      <c r="AK8" s="145"/>
      <c r="AL8" s="145"/>
      <c r="AM8" s="53"/>
      <c r="AN8" s="53"/>
      <c r="AO8" s="53"/>
    </row>
    <row r="9" spans="1:41">
      <c r="A9" s="168" t="s">
        <v>226</v>
      </c>
      <c r="B9" s="168" t="s">
        <v>181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>
        <f>+R10+R11</f>
        <v>15955225.538314499</v>
      </c>
      <c r="S9" s="116">
        <f t="shared" ref="S9:Z9" si="1">SUM(S10:S11)</f>
        <v>16290938</v>
      </c>
      <c r="T9" s="116">
        <f t="shared" si="1"/>
        <v>17116248</v>
      </c>
      <c r="U9" s="116">
        <f t="shared" si="1"/>
        <v>17211791</v>
      </c>
      <c r="V9" s="116">
        <f t="shared" si="1"/>
        <v>18123976</v>
      </c>
      <c r="W9" s="116">
        <f t="shared" si="1"/>
        <v>18606982</v>
      </c>
      <c r="X9" s="116">
        <f t="shared" si="1"/>
        <v>18927299</v>
      </c>
      <c r="Y9" s="116">
        <f t="shared" si="1"/>
        <v>18903911</v>
      </c>
      <c r="Z9" s="116">
        <f t="shared" si="1"/>
        <v>19201079.000000007</v>
      </c>
      <c r="AA9" s="272">
        <f t="shared" ref="AA9:AD9" si="2">SUM(AA10:AA11)</f>
        <v>19642921</v>
      </c>
      <c r="AB9" s="272">
        <f t="shared" si="2"/>
        <v>18880544</v>
      </c>
      <c r="AC9" s="272">
        <f t="shared" si="2"/>
        <v>18727889.871693</v>
      </c>
      <c r="AD9" s="272">
        <f t="shared" si="2"/>
        <v>19008622</v>
      </c>
      <c r="AE9" s="116">
        <f t="shared" ref="AE9:AI9" si="3">SUM(AE10:AE11)</f>
        <v>19016527</v>
      </c>
      <c r="AF9" s="272">
        <f t="shared" si="3"/>
        <v>19236791</v>
      </c>
      <c r="AG9" s="272">
        <f t="shared" si="3"/>
        <v>19453626</v>
      </c>
      <c r="AH9" s="272">
        <f t="shared" si="3"/>
        <v>19539924</v>
      </c>
      <c r="AI9" s="272">
        <f t="shared" si="3"/>
        <v>19710970</v>
      </c>
      <c r="AJ9" s="272">
        <f t="shared" ref="AJ9" si="4">SUM(AJ10:AJ11)</f>
        <v>20262414</v>
      </c>
      <c r="AK9" s="145"/>
      <c r="AL9" s="145"/>
      <c r="AM9" s="53"/>
      <c r="AN9" s="53"/>
      <c r="AO9" s="53"/>
    </row>
    <row r="10" spans="1:41">
      <c r="A10" s="168" t="s">
        <v>84</v>
      </c>
      <c r="B10" s="168" t="s">
        <v>182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>
        <v>5741100.7876744615</v>
      </c>
      <c r="S10" s="116">
        <v>5897576.86793203</v>
      </c>
      <c r="T10" s="116">
        <v>6125704.1042999998</v>
      </c>
      <c r="U10" s="116">
        <v>6140812.86833</v>
      </c>
      <c r="V10" s="116">
        <v>6505627.7454972398</v>
      </c>
      <c r="W10" s="116">
        <v>6597413.4934429247</v>
      </c>
      <c r="X10" s="116">
        <v>6669905.367991548</v>
      </c>
      <c r="Y10" s="116">
        <v>6687221.429882193</v>
      </c>
      <c r="Z10" s="116">
        <v>6826604.5989217069</v>
      </c>
      <c r="AA10" s="272">
        <v>6794394</v>
      </c>
      <c r="AB10" s="272">
        <v>6636169.2208145577</v>
      </c>
      <c r="AC10" s="272">
        <v>6470372.925383009</v>
      </c>
      <c r="AD10" s="272">
        <v>6471831.0035780584</v>
      </c>
      <c r="AE10" s="116">
        <v>6423964.5629546335</v>
      </c>
      <c r="AF10" s="272">
        <v>6540758.0495191701</v>
      </c>
      <c r="AG10" s="272">
        <v>6794290.6606694264</v>
      </c>
      <c r="AH10" s="272">
        <v>6949533</v>
      </c>
      <c r="AI10" s="272">
        <v>6965086.7008020328</v>
      </c>
      <c r="AJ10" s="272">
        <v>7078619.2839310532</v>
      </c>
      <c r="AK10" s="145"/>
      <c r="AL10" s="53"/>
      <c r="AM10" s="53"/>
      <c r="AN10" s="53"/>
      <c r="AO10" s="53"/>
    </row>
    <row r="11" spans="1:41">
      <c r="A11" s="168" t="s">
        <v>227</v>
      </c>
      <c r="B11" s="168" t="s">
        <v>183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>
        <v>10214124.750640038</v>
      </c>
      <c r="S11" s="116">
        <v>10393361.132067971</v>
      </c>
      <c r="T11" s="116">
        <v>10990543.8957</v>
      </c>
      <c r="U11" s="116">
        <v>11070978.13167</v>
      </c>
      <c r="V11" s="116">
        <v>11618348.25450276</v>
      </c>
      <c r="W11" s="116">
        <v>12009568.506557075</v>
      </c>
      <c r="X11" s="116">
        <v>12257393.632008452</v>
      </c>
      <c r="Y11" s="116">
        <v>12216689.570117807</v>
      </c>
      <c r="Z11" s="116">
        <f>12374482.4010783-8</f>
        <v>12374474.401078301</v>
      </c>
      <c r="AA11" s="272">
        <v>12848527</v>
      </c>
      <c r="AB11" s="272">
        <v>12244374.779185442</v>
      </c>
      <c r="AC11" s="272">
        <v>12257516.946309991</v>
      </c>
      <c r="AD11" s="272">
        <v>12536790.996421941</v>
      </c>
      <c r="AE11" s="116">
        <v>12592562.437045366</v>
      </c>
      <c r="AF11" s="272">
        <v>12696032.95048083</v>
      </c>
      <c r="AG11" s="272">
        <v>12659335.339330573</v>
      </c>
      <c r="AH11" s="272">
        <f>19539924-AH10</f>
        <v>12590391</v>
      </c>
      <c r="AI11" s="272">
        <f>19710970-AI10</f>
        <v>12745883.299197968</v>
      </c>
      <c r="AJ11" s="272">
        <f>20262414-AJ10</f>
        <v>13183794.716068946</v>
      </c>
      <c r="AK11" s="145"/>
      <c r="AL11" s="53"/>
      <c r="AM11" s="53"/>
      <c r="AN11" s="53"/>
      <c r="AO11" s="53"/>
    </row>
    <row r="12" spans="1:41">
      <c r="A12" s="169" t="s">
        <v>88</v>
      </c>
      <c r="B12" s="169" t="s">
        <v>185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>
        <f>+R9+R6</f>
        <v>48908305.907284498</v>
      </c>
      <c r="S12" s="202">
        <f t="shared" ref="S12:AJ12" si="5">+S6+S9</f>
        <v>48658366</v>
      </c>
      <c r="T12" s="202">
        <f t="shared" si="5"/>
        <v>50907282</v>
      </c>
      <c r="U12" s="202">
        <f t="shared" si="5"/>
        <v>51503397</v>
      </c>
      <c r="V12" s="202">
        <f t="shared" si="5"/>
        <v>53220022</v>
      </c>
      <c r="W12" s="202">
        <f t="shared" si="5"/>
        <v>54429453</v>
      </c>
      <c r="X12" s="202">
        <f t="shared" si="5"/>
        <v>68311413</v>
      </c>
      <c r="Y12" s="202">
        <f t="shared" si="5"/>
        <v>69930817</v>
      </c>
      <c r="Z12" s="202">
        <f t="shared" si="5"/>
        <v>70078813</v>
      </c>
      <c r="AA12" s="273">
        <f t="shared" si="5"/>
        <v>72572252</v>
      </c>
      <c r="AB12" s="273">
        <f t="shared" si="5"/>
        <v>72106820</v>
      </c>
      <c r="AC12" s="273">
        <f t="shared" si="5"/>
        <v>73144791.806492999</v>
      </c>
      <c r="AD12" s="273">
        <f t="shared" si="5"/>
        <v>74396224</v>
      </c>
      <c r="AE12" s="273">
        <f t="shared" si="5"/>
        <v>75316516</v>
      </c>
      <c r="AF12" s="273">
        <f t="shared" si="5"/>
        <v>76451755</v>
      </c>
      <c r="AG12" s="273">
        <f t="shared" si="5"/>
        <v>79218973</v>
      </c>
      <c r="AH12" s="273">
        <f t="shared" si="5"/>
        <v>80614580</v>
      </c>
      <c r="AI12" s="273">
        <f t="shared" si="5"/>
        <v>80825614</v>
      </c>
      <c r="AJ12" s="273">
        <f t="shared" si="5"/>
        <v>81484872</v>
      </c>
      <c r="AK12" s="145"/>
      <c r="AL12" s="53"/>
      <c r="AM12" s="53"/>
      <c r="AN12" s="53"/>
      <c r="AO12" s="53"/>
    </row>
    <row r="13" spans="1:41" ht="15.5">
      <c r="A13" s="83"/>
      <c r="B13" s="83"/>
      <c r="AK13" s="145"/>
      <c r="AL13" s="53"/>
      <c r="AM13" s="53"/>
      <c r="AN13" s="53"/>
      <c r="AO13" s="53"/>
    </row>
    <row r="14" spans="1:41" ht="36">
      <c r="A14" s="171" t="s">
        <v>508</v>
      </c>
      <c r="B14" s="171" t="s">
        <v>494</v>
      </c>
      <c r="C14" s="100" t="s">
        <v>190</v>
      </c>
      <c r="D14" s="100" t="s">
        <v>193</v>
      </c>
      <c r="E14" s="100" t="s">
        <v>198</v>
      </c>
      <c r="F14" s="100" t="s">
        <v>214</v>
      </c>
      <c r="G14" s="100" t="s">
        <v>220</v>
      </c>
      <c r="H14" s="100" t="s">
        <v>236</v>
      </c>
      <c r="I14" s="100" t="s">
        <v>241</v>
      </c>
      <c r="J14" s="100" t="s">
        <v>244</v>
      </c>
      <c r="K14" s="100" t="s">
        <v>246</v>
      </c>
      <c r="L14" s="100" t="s">
        <v>254</v>
      </c>
      <c r="M14" s="100" t="s">
        <v>255</v>
      </c>
      <c r="N14" s="100" t="s">
        <v>261</v>
      </c>
      <c r="O14" s="100" t="s">
        <v>263</v>
      </c>
      <c r="P14" s="100" t="s">
        <v>274</v>
      </c>
      <c r="Q14" s="100" t="s">
        <v>279</v>
      </c>
      <c r="R14" s="100" t="s">
        <v>284</v>
      </c>
      <c r="S14" s="189" t="s">
        <v>314</v>
      </c>
      <c r="T14" s="189" t="s">
        <v>365</v>
      </c>
      <c r="U14" s="189" t="s">
        <v>406</v>
      </c>
      <c r="V14" s="189" t="s">
        <v>409</v>
      </c>
      <c r="W14" s="189" t="s">
        <v>413</v>
      </c>
      <c r="X14" s="189" t="s">
        <v>424</v>
      </c>
      <c r="Y14" s="189" t="s">
        <v>429</v>
      </c>
      <c r="Z14" s="189" t="s">
        <v>435</v>
      </c>
      <c r="AA14" s="271" t="s">
        <v>511</v>
      </c>
      <c r="AB14" s="271" t="s">
        <v>589</v>
      </c>
      <c r="AC14" s="271" t="s">
        <v>595</v>
      </c>
      <c r="AD14" s="271" t="s">
        <v>603</v>
      </c>
      <c r="AE14" s="271" t="s">
        <v>613</v>
      </c>
      <c r="AF14" s="271" t="s">
        <v>627</v>
      </c>
      <c r="AG14" s="271" t="s">
        <v>631</v>
      </c>
      <c r="AH14" s="271" t="s">
        <v>638</v>
      </c>
      <c r="AI14" s="271" t="s">
        <v>644</v>
      </c>
      <c r="AJ14" s="271" t="s">
        <v>647</v>
      </c>
      <c r="AK14" s="53"/>
      <c r="AL14" s="53"/>
      <c r="AM14" s="53"/>
      <c r="AN14" s="53"/>
      <c r="AO14" s="53"/>
    </row>
    <row r="15" spans="1:41">
      <c r="A15" s="168" t="s">
        <v>89</v>
      </c>
      <c r="B15" s="168" t="s">
        <v>178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>
        <f t="shared" ref="R15:Z15" si="6">SUM(R16:R17)</f>
        <v>-940256.36897000007</v>
      </c>
      <c r="S15" s="116">
        <f t="shared" si="6"/>
        <v>-1070893</v>
      </c>
      <c r="T15" s="116">
        <f t="shared" si="6"/>
        <v>-1111115</v>
      </c>
      <c r="U15" s="116">
        <f t="shared" si="6"/>
        <v>-1089021</v>
      </c>
      <c r="V15" s="116">
        <f t="shared" si="6"/>
        <v>-1080697</v>
      </c>
      <c r="W15" s="116">
        <f t="shared" si="6"/>
        <v>-1042455</v>
      </c>
      <c r="X15" s="116">
        <f t="shared" si="6"/>
        <v>-1177424</v>
      </c>
      <c r="Y15" s="116">
        <f t="shared" si="6"/>
        <v>-1264875</v>
      </c>
      <c r="Z15" s="116">
        <f t="shared" si="6"/>
        <v>-1358991</v>
      </c>
      <c r="AA15" s="272">
        <f t="shared" ref="AA15" si="7">SUM(AA16:AA17)</f>
        <v>-1467313</v>
      </c>
      <c r="AB15" s="272">
        <f t="shared" ref="AB15:AD15" si="8">SUM(AB16:AB17)</f>
        <v>-1599419</v>
      </c>
      <c r="AC15" s="272">
        <f t="shared" si="8"/>
        <v>-1689664.6477399999</v>
      </c>
      <c r="AD15" s="272">
        <f t="shared" si="8"/>
        <v>-1741918</v>
      </c>
      <c r="AE15" s="272">
        <f t="shared" ref="AE15:AI15" si="9">SUM(AE16:AE17)</f>
        <v>-1757805</v>
      </c>
      <c r="AF15" s="272">
        <f t="shared" si="9"/>
        <v>-1796089</v>
      </c>
      <c r="AG15" s="272">
        <f t="shared" si="9"/>
        <v>-1934364</v>
      </c>
      <c r="AH15" s="272">
        <f t="shared" si="9"/>
        <v>-1891798</v>
      </c>
      <c r="AI15" s="272">
        <f t="shared" si="9"/>
        <v>-1928242</v>
      </c>
      <c r="AJ15" s="272">
        <f t="shared" ref="AJ15" si="10">SUM(AJ16:AJ17)</f>
        <v>-1855663</v>
      </c>
      <c r="AK15" s="53"/>
      <c r="AL15" s="53"/>
      <c r="AM15" s="53"/>
      <c r="AN15" s="53"/>
      <c r="AO15" s="53"/>
    </row>
    <row r="16" spans="1:41">
      <c r="A16" s="168" t="s">
        <v>85</v>
      </c>
      <c r="B16" s="168" t="s">
        <v>179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>
        <v>-351215</v>
      </c>
      <c r="S16" s="116">
        <v>-491759</v>
      </c>
      <c r="T16" s="116">
        <v>-504230</v>
      </c>
      <c r="U16" s="116">
        <v>-501222</v>
      </c>
      <c r="V16" s="116">
        <v>-512403</v>
      </c>
      <c r="W16" s="116">
        <v>-503175</v>
      </c>
      <c r="X16" s="116">
        <v>-509840</v>
      </c>
      <c r="Y16" s="116">
        <v>-530285</v>
      </c>
      <c r="Z16" s="116">
        <v>-498503</v>
      </c>
      <c r="AA16" s="272">
        <v>-498168</v>
      </c>
      <c r="AB16" s="272">
        <v>-522801</v>
      </c>
      <c r="AC16" s="272">
        <v>-570988</v>
      </c>
      <c r="AD16" s="272">
        <v>-598865</v>
      </c>
      <c r="AE16" s="272">
        <v>-596840</v>
      </c>
      <c r="AF16" s="272">
        <v>-608976</v>
      </c>
      <c r="AG16" s="272">
        <v>-622677</v>
      </c>
      <c r="AH16" s="272">
        <v>-575667</v>
      </c>
      <c r="AI16" s="272">
        <v>-576908.81191999989</v>
      </c>
      <c r="AJ16" s="272">
        <v>-601989</v>
      </c>
      <c r="AK16" s="53"/>
      <c r="AL16" s="53"/>
      <c r="AM16" s="53"/>
      <c r="AN16" s="53"/>
      <c r="AO16" s="53"/>
    </row>
    <row r="17" spans="1:41">
      <c r="A17" s="168" t="s">
        <v>86</v>
      </c>
      <c r="B17" s="168" t="s">
        <v>180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>
        <v>-589041.36897000007</v>
      </c>
      <c r="S17" s="116">
        <v>-579134</v>
      </c>
      <c r="T17" s="116">
        <v>-606885</v>
      </c>
      <c r="U17" s="116">
        <v>-587799</v>
      </c>
      <c r="V17" s="116">
        <v>-568294</v>
      </c>
      <c r="W17" s="116">
        <v>-539280</v>
      </c>
      <c r="X17" s="116">
        <v>-667584</v>
      </c>
      <c r="Y17" s="116">
        <v>-734590</v>
      </c>
      <c r="Z17" s="116">
        <v>-860488</v>
      </c>
      <c r="AA17" s="272">
        <v>-969145</v>
      </c>
      <c r="AB17" s="272">
        <v>-1076618</v>
      </c>
      <c r="AC17" s="272">
        <v>-1118676.6477399999</v>
      </c>
      <c r="AD17" s="272">
        <v>-1143053</v>
      </c>
      <c r="AE17" s="272">
        <v>-1160965</v>
      </c>
      <c r="AF17" s="272">
        <v>-1187113</v>
      </c>
      <c r="AG17" s="272">
        <v>-1311687</v>
      </c>
      <c r="AH17" s="272">
        <f>-1891798-AH16</f>
        <v>-1316131</v>
      </c>
      <c r="AI17" s="272">
        <f>-1928242-AI16</f>
        <v>-1351333.1880800002</v>
      </c>
      <c r="AJ17" s="272">
        <f>-1855663-AJ16</f>
        <v>-1253674</v>
      </c>
      <c r="AK17" s="53"/>
      <c r="AL17" s="53"/>
      <c r="AM17" s="53"/>
      <c r="AN17" s="53"/>
      <c r="AO17" s="53"/>
    </row>
    <row r="18" spans="1:41">
      <c r="A18" s="168" t="s">
        <v>226</v>
      </c>
      <c r="B18" s="168" t="s">
        <v>181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>
        <f t="shared" ref="R18:Z18" si="11">SUM(R19:R20)</f>
        <v>-556972.00568000006</v>
      </c>
      <c r="S18" s="116">
        <f t="shared" si="11"/>
        <v>-692720</v>
      </c>
      <c r="T18" s="116">
        <f t="shared" si="11"/>
        <v>-694201</v>
      </c>
      <c r="U18" s="116">
        <f t="shared" si="11"/>
        <v>-691816</v>
      </c>
      <c r="V18" s="116">
        <f t="shared" si="11"/>
        <v>-678170</v>
      </c>
      <c r="W18" s="116">
        <f t="shared" si="11"/>
        <v>-688133</v>
      </c>
      <c r="X18" s="116">
        <f t="shared" si="11"/>
        <v>-620204</v>
      </c>
      <c r="Y18" s="116">
        <f t="shared" si="11"/>
        <v>-620496</v>
      </c>
      <c r="Z18" s="116">
        <f t="shared" si="11"/>
        <v>-602627</v>
      </c>
      <c r="AA18" s="272">
        <f t="shared" ref="AA18" si="12">SUM(AA19:AA20)</f>
        <v>-608593</v>
      </c>
      <c r="AB18" s="272">
        <f t="shared" ref="AB18:AD18" si="13">SUM(AB19:AB20)</f>
        <v>-648790</v>
      </c>
      <c r="AC18" s="272">
        <f t="shared" si="13"/>
        <v>-620408.40756999981</v>
      </c>
      <c r="AD18" s="272">
        <f t="shared" si="13"/>
        <v>-630717</v>
      </c>
      <c r="AE18" s="272">
        <f t="shared" ref="AE18:AI18" si="14">SUM(AE19:AE20)</f>
        <v>-555444</v>
      </c>
      <c r="AF18" s="272">
        <f t="shared" si="14"/>
        <v>-533034</v>
      </c>
      <c r="AG18" s="272">
        <f t="shared" si="14"/>
        <v>-502711</v>
      </c>
      <c r="AH18" s="272">
        <f t="shared" si="14"/>
        <v>-482448.271159995</v>
      </c>
      <c r="AI18" s="272">
        <f t="shared" si="14"/>
        <v>-491488</v>
      </c>
      <c r="AJ18" s="272">
        <f t="shared" ref="AJ18" si="15">SUM(AJ19:AJ20)</f>
        <v>-477165</v>
      </c>
      <c r="AK18" s="53"/>
      <c r="AL18" s="53"/>
      <c r="AM18" s="53"/>
      <c r="AN18" s="53"/>
      <c r="AO18" s="53"/>
    </row>
    <row r="19" spans="1:41">
      <c r="A19" s="168" t="s">
        <v>84</v>
      </c>
      <c r="B19" s="168" t="s">
        <v>182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>
        <v>-135303.37732</v>
      </c>
      <c r="S19" s="116">
        <v>-168621.71062</v>
      </c>
      <c r="T19" s="116">
        <v>-171948.46978000001</v>
      </c>
      <c r="U19" s="116">
        <v>-174438.82798</v>
      </c>
      <c r="V19" s="116">
        <v>-172022.35799000002</v>
      </c>
      <c r="W19" s="116">
        <v>-176387.13721000002</v>
      </c>
      <c r="X19" s="116">
        <v>-144285.36044999998</v>
      </c>
      <c r="Y19" s="116">
        <v>-150140.99750999999</v>
      </c>
      <c r="Z19" s="116">
        <v>-166659.64799999999</v>
      </c>
      <c r="AA19" s="272">
        <v>-165283</v>
      </c>
      <c r="AB19" s="272">
        <v>-185218.63021</v>
      </c>
      <c r="AC19" s="272">
        <v>-159206.07329</v>
      </c>
      <c r="AD19" s="272">
        <v>-168290.80935</v>
      </c>
      <c r="AE19" s="272">
        <v>-146098.97737000001</v>
      </c>
      <c r="AF19" s="272">
        <v>-150003.73896000002</v>
      </c>
      <c r="AG19" s="272">
        <v>-137171</v>
      </c>
      <c r="AH19" s="272">
        <v>-144059.74015999999</v>
      </c>
      <c r="AI19" s="272">
        <v>-152396.05953</v>
      </c>
      <c r="AJ19" s="272">
        <v>-159564</v>
      </c>
      <c r="AK19" s="53"/>
      <c r="AL19" s="53"/>
      <c r="AM19" s="53"/>
      <c r="AN19" s="53"/>
      <c r="AO19" s="53"/>
    </row>
    <row r="20" spans="1:41">
      <c r="A20" s="168" t="s">
        <v>227</v>
      </c>
      <c r="B20" s="168" t="s">
        <v>183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>
        <v>-421668.62836000003</v>
      </c>
      <c r="S20" s="116">
        <v>-524098.28937999997</v>
      </c>
      <c r="T20" s="116">
        <v>-522252.53021999996</v>
      </c>
      <c r="U20" s="116">
        <v>-517377.17202</v>
      </c>
      <c r="V20" s="116">
        <v>-506147.64200999995</v>
      </c>
      <c r="W20" s="116">
        <v>-511745.86278999998</v>
      </c>
      <c r="X20" s="116">
        <v>-475918.63955000002</v>
      </c>
      <c r="Y20" s="116">
        <v>-470355.00248999998</v>
      </c>
      <c r="Z20" s="116">
        <v>-435967.35200000001</v>
      </c>
      <c r="AA20" s="272">
        <v>-443310</v>
      </c>
      <c r="AB20" s="272">
        <v>-463571.36979000003</v>
      </c>
      <c r="AC20" s="272">
        <v>-461202.33427999978</v>
      </c>
      <c r="AD20" s="272">
        <v>-462426.19065</v>
      </c>
      <c r="AE20" s="272">
        <v>-409345.02263000002</v>
      </c>
      <c r="AF20" s="272">
        <v>-383030.26104000001</v>
      </c>
      <c r="AG20" s="272">
        <v>-365540</v>
      </c>
      <c r="AH20" s="272">
        <f>-482448.271159995-AH19</f>
        <v>-338388.53099999501</v>
      </c>
      <c r="AI20" s="272">
        <f>-491488-AI19</f>
        <v>-339091.94047000003</v>
      </c>
      <c r="AJ20" s="272">
        <f>-477165-AJ19</f>
        <v>-317601</v>
      </c>
      <c r="AK20" s="53"/>
      <c r="AL20" s="53"/>
      <c r="AM20" s="53"/>
      <c r="AN20" s="53"/>
      <c r="AO20" s="53"/>
    </row>
    <row r="21" spans="1:41">
      <c r="A21" s="169" t="s">
        <v>495</v>
      </c>
      <c r="B21" s="169" t="s">
        <v>496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>
        <f t="shared" ref="R21:AJ21" si="16">+R15+R18</f>
        <v>-1497228.3746500001</v>
      </c>
      <c r="S21" s="202">
        <f t="shared" si="16"/>
        <v>-1763613</v>
      </c>
      <c r="T21" s="202">
        <f t="shared" si="16"/>
        <v>-1805316</v>
      </c>
      <c r="U21" s="202">
        <f t="shared" si="16"/>
        <v>-1780837</v>
      </c>
      <c r="V21" s="202">
        <f t="shared" si="16"/>
        <v>-1758867</v>
      </c>
      <c r="W21" s="202">
        <f t="shared" si="16"/>
        <v>-1730588</v>
      </c>
      <c r="X21" s="202">
        <f t="shared" si="16"/>
        <v>-1797628</v>
      </c>
      <c r="Y21" s="202">
        <f t="shared" si="16"/>
        <v>-1885371</v>
      </c>
      <c r="Z21" s="202">
        <f t="shared" si="16"/>
        <v>-1961618</v>
      </c>
      <c r="AA21" s="273">
        <f t="shared" si="16"/>
        <v>-2075906</v>
      </c>
      <c r="AB21" s="273">
        <f t="shared" si="16"/>
        <v>-2248209</v>
      </c>
      <c r="AC21" s="273">
        <f t="shared" si="16"/>
        <v>-2310073.0553099997</v>
      </c>
      <c r="AD21" s="273">
        <f t="shared" si="16"/>
        <v>-2372635</v>
      </c>
      <c r="AE21" s="273">
        <f t="shared" si="16"/>
        <v>-2313249</v>
      </c>
      <c r="AF21" s="273">
        <f t="shared" si="16"/>
        <v>-2329123</v>
      </c>
      <c r="AG21" s="273">
        <f t="shared" si="16"/>
        <v>-2437075</v>
      </c>
      <c r="AH21" s="273">
        <f t="shared" si="16"/>
        <v>-2374246.2711599949</v>
      </c>
      <c r="AI21" s="273">
        <f t="shared" si="16"/>
        <v>-2419730</v>
      </c>
      <c r="AJ21" s="273">
        <f t="shared" si="16"/>
        <v>-2332828</v>
      </c>
      <c r="AK21" s="53"/>
      <c r="AL21" s="53"/>
      <c r="AM21" s="53"/>
      <c r="AN21" s="53"/>
      <c r="AO21" s="53"/>
    </row>
    <row r="22" spans="1:41" ht="15.5">
      <c r="A22" s="83"/>
      <c r="B22" s="83"/>
      <c r="AA22" s="27"/>
      <c r="AB22" s="27"/>
      <c r="AC22" s="27"/>
      <c r="AD22" s="27"/>
      <c r="AE22" s="27"/>
      <c r="AF22" s="27"/>
      <c r="AG22" s="27"/>
      <c r="AH22" s="27"/>
      <c r="AI22" s="27"/>
      <c r="AJ22" s="27">
        <f t="shared" ref="AJ22" si="17">AJ21-AI21</f>
        <v>86902</v>
      </c>
      <c r="AK22" s="53"/>
      <c r="AL22" s="53"/>
      <c r="AM22" s="53"/>
      <c r="AN22" s="53"/>
      <c r="AO22" s="53"/>
    </row>
    <row r="23" spans="1:41" ht="24">
      <c r="A23" s="171" t="s">
        <v>509</v>
      </c>
      <c r="B23" s="171" t="s">
        <v>493</v>
      </c>
      <c r="C23" s="100" t="s">
        <v>190</v>
      </c>
      <c r="D23" s="100" t="s">
        <v>193</v>
      </c>
      <c r="E23" s="100" t="s">
        <v>198</v>
      </c>
      <c r="F23" s="100" t="s">
        <v>214</v>
      </c>
      <c r="G23" s="100" t="s">
        <v>220</v>
      </c>
      <c r="H23" s="100" t="s">
        <v>236</v>
      </c>
      <c r="I23" s="100" t="s">
        <v>241</v>
      </c>
      <c r="J23" s="100" t="s">
        <v>244</v>
      </c>
      <c r="K23" s="100" t="s">
        <v>246</v>
      </c>
      <c r="L23" s="100" t="s">
        <v>254</v>
      </c>
      <c r="M23" s="100" t="s">
        <v>255</v>
      </c>
      <c r="N23" s="100" t="s">
        <v>261</v>
      </c>
      <c r="O23" s="100" t="s">
        <v>263</v>
      </c>
      <c r="P23" s="100" t="s">
        <v>274</v>
      </c>
      <c r="Q23" s="100" t="s">
        <v>279</v>
      </c>
      <c r="R23" s="100" t="s">
        <v>284</v>
      </c>
      <c r="S23" s="189" t="s">
        <v>314</v>
      </c>
      <c r="T23" s="189" t="s">
        <v>365</v>
      </c>
      <c r="U23" s="189" t="s">
        <v>406</v>
      </c>
      <c r="V23" s="189" t="s">
        <v>409</v>
      </c>
      <c r="W23" s="189" t="s">
        <v>413</v>
      </c>
      <c r="X23" s="189" t="s">
        <v>424</v>
      </c>
      <c r="Y23" s="189" t="s">
        <v>429</v>
      </c>
      <c r="Z23" s="189" t="s">
        <v>435</v>
      </c>
      <c r="AA23" s="271" t="s">
        <v>511</v>
      </c>
      <c r="AB23" s="271" t="s">
        <v>589</v>
      </c>
      <c r="AC23" s="271" t="s">
        <v>595</v>
      </c>
      <c r="AD23" s="271" t="s">
        <v>603</v>
      </c>
      <c r="AE23" s="271" t="s">
        <v>613</v>
      </c>
      <c r="AF23" s="271" t="s">
        <v>627</v>
      </c>
      <c r="AG23" s="271" t="s">
        <v>631</v>
      </c>
      <c r="AH23" s="271" t="s">
        <v>638</v>
      </c>
      <c r="AI23" s="271" t="s">
        <v>644</v>
      </c>
      <c r="AJ23" s="271" t="s">
        <v>647</v>
      </c>
    </row>
    <row r="24" spans="1:41">
      <c r="A24" s="168" t="s">
        <v>89</v>
      </c>
      <c r="B24" s="168" t="s">
        <v>178</v>
      </c>
      <c r="C24" s="20">
        <f t="shared" ref="C24:H24" si="18">+C25+C26</f>
        <v>30742167</v>
      </c>
      <c r="D24" s="20">
        <f t="shared" si="18"/>
        <v>30830927</v>
      </c>
      <c r="E24" s="20">
        <f t="shared" si="18"/>
        <v>31086877</v>
      </c>
      <c r="F24" s="20">
        <f t="shared" si="18"/>
        <v>31435346</v>
      </c>
      <c r="G24" s="20">
        <f t="shared" si="18"/>
        <v>33218689</v>
      </c>
      <c r="H24" s="20">
        <f t="shared" si="18"/>
        <v>33783984</v>
      </c>
      <c r="I24" s="20">
        <f>+I25+I26</f>
        <v>32776611</v>
      </c>
      <c r="J24" s="20">
        <f>+J25+J26</f>
        <v>32905953</v>
      </c>
      <c r="K24" s="20">
        <f>+K25+K26</f>
        <v>32647736</v>
      </c>
      <c r="L24" s="20">
        <f>+L25+L26</f>
        <v>33397980</v>
      </c>
      <c r="M24" s="20">
        <v>32829570</v>
      </c>
      <c r="N24" s="20">
        <f>+N25+N26</f>
        <v>33241628</v>
      </c>
      <c r="O24" s="20">
        <f>+O25+O26</f>
        <v>32523853</v>
      </c>
      <c r="P24" s="20">
        <f>+P25+P26</f>
        <v>32490861</v>
      </c>
      <c r="Q24" s="20">
        <f>+Q25+Q26</f>
        <v>32462778</v>
      </c>
      <c r="R24" s="20">
        <f>+R25+R26</f>
        <v>32012824</v>
      </c>
      <c r="S24" s="20">
        <f t="shared" ref="S24:AJ24" si="19">+S25+S26</f>
        <v>31296535</v>
      </c>
      <c r="T24" s="20">
        <f t="shared" si="19"/>
        <v>32679919</v>
      </c>
      <c r="U24" s="20">
        <f t="shared" si="19"/>
        <v>33202585</v>
      </c>
      <c r="V24" s="20">
        <f t="shared" si="19"/>
        <v>34015349</v>
      </c>
      <c r="W24" s="20">
        <f t="shared" si="19"/>
        <v>34780016</v>
      </c>
      <c r="X24" s="20">
        <f t="shared" si="19"/>
        <v>48206690</v>
      </c>
      <c r="Y24" s="20">
        <f t="shared" si="19"/>
        <v>49762031</v>
      </c>
      <c r="Z24" s="20">
        <f t="shared" si="19"/>
        <v>49518743</v>
      </c>
      <c r="AA24" s="20">
        <f t="shared" si="19"/>
        <v>51462018</v>
      </c>
      <c r="AB24" s="20">
        <f t="shared" si="19"/>
        <v>51626857</v>
      </c>
      <c r="AC24" s="20">
        <f t="shared" si="19"/>
        <v>52727237.28706</v>
      </c>
      <c r="AD24" s="20">
        <f t="shared" si="19"/>
        <v>53645684</v>
      </c>
      <c r="AE24" s="20">
        <f t="shared" si="19"/>
        <v>54542184</v>
      </c>
      <c r="AF24" s="20">
        <f t="shared" si="19"/>
        <v>55418875</v>
      </c>
      <c r="AG24" s="20">
        <f t="shared" si="19"/>
        <v>57830983</v>
      </c>
      <c r="AH24" s="20">
        <f t="shared" si="19"/>
        <v>59182858</v>
      </c>
      <c r="AI24" s="20">
        <f t="shared" si="19"/>
        <v>59186402</v>
      </c>
      <c r="AJ24" s="20">
        <f t="shared" si="19"/>
        <v>59366795</v>
      </c>
    </row>
    <row r="25" spans="1:41">
      <c r="A25" s="168" t="s">
        <v>85</v>
      </c>
      <c r="B25" s="168" t="s">
        <v>179</v>
      </c>
      <c r="C25" s="20">
        <v>26908340</v>
      </c>
      <c r="D25" s="20">
        <v>26741141</v>
      </c>
      <c r="E25" s="20">
        <v>26730536</v>
      </c>
      <c r="F25" s="20">
        <v>26906624</v>
      </c>
      <c r="G25" s="20">
        <v>28464410</v>
      </c>
      <c r="H25" s="20">
        <v>28777461</v>
      </c>
      <c r="I25" s="20">
        <v>27656249</v>
      </c>
      <c r="J25" s="20">
        <v>27683396</v>
      </c>
      <c r="K25" s="20">
        <v>27290063</v>
      </c>
      <c r="L25" s="20">
        <v>27813996</v>
      </c>
      <c r="M25" s="20">
        <v>27155206</v>
      </c>
      <c r="N25" s="20">
        <v>27492036</v>
      </c>
      <c r="O25" s="20">
        <v>26688152</v>
      </c>
      <c r="P25" s="20">
        <v>26490617</v>
      </c>
      <c r="Q25" s="20">
        <v>26297728</v>
      </c>
      <c r="R25" s="20">
        <v>25752818</v>
      </c>
      <c r="S25" s="20">
        <f t="shared" ref="S25:AH26" si="20">+S7+S16</f>
        <v>25903502</v>
      </c>
      <c r="T25" s="20">
        <f t="shared" si="20"/>
        <v>26995785</v>
      </c>
      <c r="U25" s="20">
        <f t="shared" si="20"/>
        <v>27274468</v>
      </c>
      <c r="V25" s="20">
        <f t="shared" si="20"/>
        <v>27806782</v>
      </c>
      <c r="W25" s="20">
        <f t="shared" si="20"/>
        <v>28235851</v>
      </c>
      <c r="X25" s="20">
        <f t="shared" si="20"/>
        <v>34838019</v>
      </c>
      <c r="Y25" s="20">
        <f t="shared" si="20"/>
        <v>36043915</v>
      </c>
      <c r="Z25" s="20">
        <f t="shared" si="20"/>
        <v>35933640</v>
      </c>
      <c r="AA25" s="20">
        <f t="shared" si="20"/>
        <v>37835551</v>
      </c>
      <c r="AB25" s="20">
        <f t="shared" si="20"/>
        <v>38076242</v>
      </c>
      <c r="AC25" s="20">
        <f t="shared" si="20"/>
        <v>39057836</v>
      </c>
      <c r="AD25" s="20">
        <f t="shared" si="20"/>
        <v>39952812</v>
      </c>
      <c r="AE25" s="116">
        <f t="shared" si="20"/>
        <v>40786642</v>
      </c>
      <c r="AF25" s="20">
        <f t="shared" si="20"/>
        <v>41489234</v>
      </c>
      <c r="AG25" s="20">
        <f t="shared" si="20"/>
        <v>42405822</v>
      </c>
      <c r="AH25" s="20">
        <f t="shared" si="20"/>
        <v>43712968</v>
      </c>
      <c r="AI25" s="20">
        <f t="shared" ref="AI25:AJ26" si="21">+AI7+AI16</f>
        <v>43833644.26769001</v>
      </c>
      <c r="AJ25" s="20">
        <f t="shared" si="21"/>
        <v>43903525.230020486</v>
      </c>
    </row>
    <row r="26" spans="1:41">
      <c r="A26" s="168" t="s">
        <v>86</v>
      </c>
      <c r="B26" s="168" t="s">
        <v>180</v>
      </c>
      <c r="C26" s="20">
        <v>3833827</v>
      </c>
      <c r="D26" s="20">
        <v>4089786</v>
      </c>
      <c r="E26" s="20">
        <v>4356341</v>
      </c>
      <c r="F26" s="20">
        <v>4528722</v>
      </c>
      <c r="G26" s="20">
        <v>4754279</v>
      </c>
      <c r="H26" s="20">
        <v>5006523</v>
      </c>
      <c r="I26" s="20">
        <v>5120362</v>
      </c>
      <c r="J26" s="20">
        <v>5222557</v>
      </c>
      <c r="K26" s="20">
        <v>5357673</v>
      </c>
      <c r="L26" s="20">
        <v>5583984</v>
      </c>
      <c r="M26" s="20">
        <v>5674364</v>
      </c>
      <c r="N26" s="20">
        <v>5749592</v>
      </c>
      <c r="O26" s="20">
        <v>5835701</v>
      </c>
      <c r="P26" s="20">
        <v>6000244</v>
      </c>
      <c r="Q26" s="20">
        <v>6165050</v>
      </c>
      <c r="R26" s="20">
        <v>6260006</v>
      </c>
      <c r="S26" s="20">
        <f t="shared" ref="S26:Z26" si="22">+S8+S17</f>
        <v>5393033</v>
      </c>
      <c r="T26" s="20">
        <f t="shared" si="22"/>
        <v>5684134</v>
      </c>
      <c r="U26" s="20">
        <f t="shared" si="22"/>
        <v>5928117</v>
      </c>
      <c r="V26" s="20">
        <f t="shared" si="22"/>
        <v>6208567</v>
      </c>
      <c r="W26" s="20">
        <f t="shared" si="22"/>
        <v>6544165</v>
      </c>
      <c r="X26" s="20">
        <f t="shared" si="22"/>
        <v>13368671</v>
      </c>
      <c r="Y26" s="20">
        <f t="shared" si="22"/>
        <v>13718116</v>
      </c>
      <c r="Z26" s="20">
        <f t="shared" si="22"/>
        <v>13585103</v>
      </c>
      <c r="AA26" s="20">
        <f t="shared" si="20"/>
        <v>13626467</v>
      </c>
      <c r="AB26" s="20">
        <f t="shared" si="20"/>
        <v>13550615</v>
      </c>
      <c r="AC26" s="20">
        <f t="shared" si="20"/>
        <v>13669401.28706</v>
      </c>
      <c r="AD26" s="20">
        <f t="shared" si="20"/>
        <v>13692872</v>
      </c>
      <c r="AE26" s="116">
        <f t="shared" si="20"/>
        <v>13755542</v>
      </c>
      <c r="AF26" s="20">
        <f t="shared" si="20"/>
        <v>13929641</v>
      </c>
      <c r="AG26" s="20">
        <f t="shared" si="20"/>
        <v>15425161</v>
      </c>
      <c r="AH26" s="20">
        <f t="shared" si="20"/>
        <v>15469890</v>
      </c>
      <c r="AI26" s="20">
        <f t="shared" si="21"/>
        <v>15352757.732309988</v>
      </c>
      <c r="AJ26" s="20">
        <f t="shared" si="21"/>
        <v>15463269.769979514</v>
      </c>
    </row>
    <row r="27" spans="1:41">
      <c r="A27" s="168" t="s">
        <v>226</v>
      </c>
      <c r="B27" s="168" t="s">
        <v>181</v>
      </c>
      <c r="C27" s="20">
        <f t="shared" ref="C27:H27" si="23">+C28+C29</f>
        <v>12106384</v>
      </c>
      <c r="D27" s="20">
        <f t="shared" si="23"/>
        <v>12543497.021708965</v>
      </c>
      <c r="E27" s="20">
        <f t="shared" si="23"/>
        <v>12760238.538342863</v>
      </c>
      <c r="F27" s="20">
        <f t="shared" si="23"/>
        <v>12707352.635487549</v>
      </c>
      <c r="G27" s="20">
        <f t="shared" si="23"/>
        <v>13316025.994025126</v>
      </c>
      <c r="H27" s="20">
        <f t="shared" si="23"/>
        <v>13214246</v>
      </c>
      <c r="I27" s="20">
        <f>+I28+I29</f>
        <v>13414597.27810131</v>
      </c>
      <c r="J27" s="20">
        <f>+J28+J29</f>
        <v>13463428.415475644</v>
      </c>
      <c r="K27" s="20">
        <f>+K28+K29</f>
        <v>13437500.02018708</v>
      </c>
      <c r="L27" s="20">
        <f>+L28+L29</f>
        <v>13566647.960958436</v>
      </c>
      <c r="M27" s="20">
        <v>13561470.378984131</v>
      </c>
      <c r="N27" s="20">
        <f>+N28+N29</f>
        <v>13778415.163200701</v>
      </c>
      <c r="O27" s="20">
        <f>+O28+O29</f>
        <v>14468550.340389799</v>
      </c>
      <c r="P27" s="20">
        <f>+P28+P29</f>
        <v>14825461.871290002</v>
      </c>
      <c r="Q27" s="20">
        <f>+Q28+Q29</f>
        <v>15130448</v>
      </c>
      <c r="R27" s="20">
        <f>+R28+R29</f>
        <v>15398253.532634467</v>
      </c>
      <c r="S27" s="20">
        <f t="shared" ref="S27:AJ27" si="24">+S28+S29</f>
        <v>15598218.000000002</v>
      </c>
      <c r="T27" s="20">
        <f t="shared" si="24"/>
        <v>16422047</v>
      </c>
      <c r="U27" s="20">
        <f t="shared" si="24"/>
        <v>16519975</v>
      </c>
      <c r="V27" s="20">
        <f t="shared" si="24"/>
        <v>17445806</v>
      </c>
      <c r="W27" s="20">
        <f t="shared" si="24"/>
        <v>17918849</v>
      </c>
      <c r="X27" s="20">
        <f t="shared" si="24"/>
        <v>18307095</v>
      </c>
      <c r="Y27" s="20">
        <f t="shared" si="24"/>
        <v>18283415</v>
      </c>
      <c r="Z27" s="20">
        <f t="shared" si="24"/>
        <v>18598452.000000007</v>
      </c>
      <c r="AA27" s="20">
        <f t="shared" si="24"/>
        <v>19034328</v>
      </c>
      <c r="AB27" s="20">
        <f t="shared" si="24"/>
        <v>18231754</v>
      </c>
      <c r="AC27" s="20">
        <f t="shared" si="24"/>
        <v>18107481.464123003</v>
      </c>
      <c r="AD27" s="20">
        <f t="shared" si="24"/>
        <v>18377905</v>
      </c>
      <c r="AE27" s="116">
        <f t="shared" si="24"/>
        <v>18461083</v>
      </c>
      <c r="AF27" s="20">
        <f t="shared" si="24"/>
        <v>18703757</v>
      </c>
      <c r="AG27" s="20">
        <f t="shared" si="24"/>
        <v>18950915</v>
      </c>
      <c r="AH27" s="20">
        <f t="shared" si="24"/>
        <v>19057475.728840005</v>
      </c>
      <c r="AI27" s="20">
        <f t="shared" si="24"/>
        <v>19219482</v>
      </c>
      <c r="AJ27" s="20">
        <f t="shared" si="24"/>
        <v>19785249</v>
      </c>
    </row>
    <row r="28" spans="1:41">
      <c r="A28" s="168" t="s">
        <v>84</v>
      </c>
      <c r="B28" s="168" t="s">
        <v>182</v>
      </c>
      <c r="C28" s="20">
        <v>3574977</v>
      </c>
      <c r="D28" s="20">
        <v>3710673.9509789585</v>
      </c>
      <c r="E28" s="20">
        <v>3959673.6818528576</v>
      </c>
      <c r="F28" s="20">
        <v>3973995.996827547</v>
      </c>
      <c r="G28" s="20">
        <v>4067754.0962551231</v>
      </c>
      <c r="H28" s="20">
        <v>4209195</v>
      </c>
      <c r="I28" s="20">
        <v>4359387.3711613137</v>
      </c>
      <c r="J28" s="20">
        <v>4639776.7185956417</v>
      </c>
      <c r="K28" s="20">
        <v>4733524.6133170743</v>
      </c>
      <c r="L28" s="20">
        <v>4920023.9526984338</v>
      </c>
      <c r="M28" s="20">
        <v>4975844.4154541316</v>
      </c>
      <c r="N28" s="20">
        <v>5132389.3175206799</v>
      </c>
      <c r="O28" s="20">
        <v>5181709.0327597558</v>
      </c>
      <c r="P28" s="20">
        <v>5327986.15912</v>
      </c>
      <c r="Q28" s="20">
        <v>5487648.4850399988</v>
      </c>
      <c r="R28" s="20">
        <v>5605797.4103544615</v>
      </c>
      <c r="S28" s="20">
        <f t="shared" ref="S28:AH29" si="25">+S10+S19</f>
        <v>5728955.15731203</v>
      </c>
      <c r="T28" s="20">
        <f t="shared" si="25"/>
        <v>5953755.6345199998</v>
      </c>
      <c r="U28" s="20">
        <f t="shared" si="25"/>
        <v>5966374.0403500004</v>
      </c>
      <c r="V28" s="20">
        <f t="shared" si="25"/>
        <v>6333605.3875072394</v>
      </c>
      <c r="W28" s="20">
        <f t="shared" si="25"/>
        <v>6421026.3562329244</v>
      </c>
      <c r="X28" s="20">
        <f t="shared" si="25"/>
        <v>6525620.0075415485</v>
      </c>
      <c r="Y28" s="20">
        <f t="shared" si="25"/>
        <v>6537080.4323721929</v>
      </c>
      <c r="Z28" s="20">
        <f t="shared" si="25"/>
        <v>6659944.9509217069</v>
      </c>
      <c r="AA28" s="20">
        <f t="shared" si="25"/>
        <v>6629111</v>
      </c>
      <c r="AB28" s="20">
        <f t="shared" si="25"/>
        <v>6450950.5906045577</v>
      </c>
      <c r="AC28" s="20">
        <f t="shared" si="25"/>
        <v>6311166.8520930093</v>
      </c>
      <c r="AD28" s="20">
        <f t="shared" si="25"/>
        <v>6303540.1942280587</v>
      </c>
      <c r="AE28" s="116">
        <f t="shared" si="25"/>
        <v>6277865.5855846331</v>
      </c>
      <c r="AF28" s="20">
        <f t="shared" si="25"/>
        <v>6390754.3105591703</v>
      </c>
      <c r="AG28" s="20">
        <f t="shared" si="25"/>
        <v>6657119.6606694264</v>
      </c>
      <c r="AH28" s="20">
        <f t="shared" si="25"/>
        <v>6805473.2598400004</v>
      </c>
      <c r="AI28" s="20">
        <f t="shared" ref="AI28:AJ29" si="26">+AI10+AI19</f>
        <v>6812690.6412720326</v>
      </c>
      <c r="AJ28" s="20">
        <f t="shared" si="26"/>
        <v>6919055.2839310532</v>
      </c>
    </row>
    <row r="29" spans="1:41">
      <c r="A29" s="168" t="s">
        <v>227</v>
      </c>
      <c r="B29" s="168" t="s">
        <v>183</v>
      </c>
      <c r="C29" s="20">
        <v>8531407</v>
      </c>
      <c r="D29" s="20">
        <v>8832823.0707300063</v>
      </c>
      <c r="E29" s="20">
        <v>8800564.8564900048</v>
      </c>
      <c r="F29" s="20">
        <v>8733356.6386600025</v>
      </c>
      <c r="G29" s="20">
        <v>9248271.8977700025</v>
      </c>
      <c r="H29" s="20">
        <v>9005051</v>
      </c>
      <c r="I29" s="20">
        <v>9055209.9069399964</v>
      </c>
      <c r="J29" s="20">
        <v>8823651.6968800016</v>
      </c>
      <c r="K29" s="20">
        <v>8703975.4068700057</v>
      </c>
      <c r="L29" s="20">
        <v>8646624.0082600024</v>
      </c>
      <c r="M29" s="20">
        <v>8585625.9635300003</v>
      </c>
      <c r="N29" s="20">
        <f>13778415.1632007-N28</f>
        <v>8646025.8456800207</v>
      </c>
      <c r="O29" s="20">
        <f>14468550.3403898-O28</f>
        <v>9286841.3076300435</v>
      </c>
      <c r="P29" s="20">
        <f>14825461.87129-P28</f>
        <v>9497475.7121700011</v>
      </c>
      <c r="Q29" s="20">
        <v>9642799.5149600022</v>
      </c>
      <c r="R29" s="20">
        <v>9792456.1222800054</v>
      </c>
      <c r="S29" s="20">
        <f t="shared" ref="S29:Z29" si="27">+S11+S20</f>
        <v>9869262.8426879719</v>
      </c>
      <c r="T29" s="20">
        <f t="shared" si="27"/>
        <v>10468291.36548</v>
      </c>
      <c r="U29" s="20">
        <f t="shared" si="27"/>
        <v>10553600.959650001</v>
      </c>
      <c r="V29" s="20">
        <f t="shared" si="27"/>
        <v>11112200.612492761</v>
      </c>
      <c r="W29" s="20">
        <f t="shared" si="27"/>
        <v>11497822.643767076</v>
      </c>
      <c r="X29" s="20">
        <f t="shared" si="27"/>
        <v>11781474.992458452</v>
      </c>
      <c r="Y29" s="20">
        <f t="shared" si="27"/>
        <v>11746334.567627806</v>
      </c>
      <c r="Z29" s="20">
        <f t="shared" si="27"/>
        <v>11938507.049078301</v>
      </c>
      <c r="AA29" s="20">
        <f t="shared" si="25"/>
        <v>12405217</v>
      </c>
      <c r="AB29" s="20">
        <f t="shared" si="25"/>
        <v>11780803.409395441</v>
      </c>
      <c r="AC29" s="20">
        <f t="shared" si="25"/>
        <v>11796314.612029992</v>
      </c>
      <c r="AD29" s="20">
        <f t="shared" si="25"/>
        <v>12074364.805771941</v>
      </c>
      <c r="AE29" s="116">
        <f t="shared" si="25"/>
        <v>12183217.414415365</v>
      </c>
      <c r="AF29" s="20">
        <f t="shared" si="25"/>
        <v>12313002.68944083</v>
      </c>
      <c r="AG29" s="20">
        <f t="shared" si="25"/>
        <v>12293795.339330573</v>
      </c>
      <c r="AH29" s="20">
        <f t="shared" si="25"/>
        <v>12252002.469000004</v>
      </c>
      <c r="AI29" s="20">
        <f t="shared" si="26"/>
        <v>12406791.358727967</v>
      </c>
      <c r="AJ29" s="20">
        <f t="shared" si="26"/>
        <v>12866193.716068946</v>
      </c>
    </row>
    <row r="30" spans="1:41">
      <c r="A30" s="169" t="s">
        <v>87</v>
      </c>
      <c r="B30" s="169" t="s">
        <v>184</v>
      </c>
      <c r="C30" s="29">
        <v>42848551</v>
      </c>
      <c r="D30" s="29">
        <v>43374424.021708965</v>
      </c>
      <c r="E30" s="29">
        <v>43847115.538342863</v>
      </c>
      <c r="F30" s="29">
        <f t="shared" ref="F30:K30" si="28">+F27+F24</f>
        <v>44142698.635487549</v>
      </c>
      <c r="G30" s="29">
        <f t="shared" si="28"/>
        <v>46534714.994025126</v>
      </c>
      <c r="H30" s="29">
        <f t="shared" si="28"/>
        <v>46998230</v>
      </c>
      <c r="I30" s="29">
        <f t="shared" si="28"/>
        <v>46191208.27810131</v>
      </c>
      <c r="J30" s="29">
        <f t="shared" si="28"/>
        <v>46369381.415475644</v>
      </c>
      <c r="K30" s="29">
        <f t="shared" si="28"/>
        <v>46085236.02018708</v>
      </c>
      <c r="L30" s="29">
        <f>+L27+L24</f>
        <v>46964627.960958436</v>
      </c>
      <c r="M30" s="29">
        <v>46391040.378984131</v>
      </c>
      <c r="N30" s="29">
        <f>+N27+N24</f>
        <v>47020043.163200699</v>
      </c>
      <c r="O30" s="29">
        <f>+O27+O24</f>
        <v>46992403.340389803</v>
      </c>
      <c r="P30" s="29">
        <f>+P27+P24</f>
        <v>47316322.871289998</v>
      </c>
      <c r="Q30" s="29">
        <f>+Q27+Q24</f>
        <v>47593226</v>
      </c>
      <c r="R30" s="29">
        <f>+R27+R24</f>
        <v>47411077.532634467</v>
      </c>
      <c r="S30" s="29">
        <f t="shared" ref="S30:AJ30" si="29">+S27+S24</f>
        <v>46894753</v>
      </c>
      <c r="T30" s="29">
        <f t="shared" si="29"/>
        <v>49101966</v>
      </c>
      <c r="U30" s="29">
        <f t="shared" si="29"/>
        <v>49722560</v>
      </c>
      <c r="V30" s="29">
        <f t="shared" si="29"/>
        <v>51461155</v>
      </c>
      <c r="W30" s="29">
        <f t="shared" si="29"/>
        <v>52698865</v>
      </c>
      <c r="X30" s="29">
        <f t="shared" si="29"/>
        <v>66513785</v>
      </c>
      <c r="Y30" s="29">
        <f t="shared" si="29"/>
        <v>68045446</v>
      </c>
      <c r="Z30" s="29">
        <f t="shared" si="29"/>
        <v>68117195</v>
      </c>
      <c r="AA30" s="29">
        <f t="shared" si="29"/>
        <v>70496346</v>
      </c>
      <c r="AB30" s="29">
        <f t="shared" si="29"/>
        <v>69858611</v>
      </c>
      <c r="AC30" s="29">
        <f t="shared" si="29"/>
        <v>70834718.751183003</v>
      </c>
      <c r="AD30" s="29">
        <f t="shared" si="29"/>
        <v>72023589</v>
      </c>
      <c r="AE30" s="29">
        <f t="shared" si="29"/>
        <v>73003267</v>
      </c>
      <c r="AF30" s="29">
        <f t="shared" si="29"/>
        <v>74122632</v>
      </c>
      <c r="AG30" s="29">
        <f t="shared" si="29"/>
        <v>76781898</v>
      </c>
      <c r="AH30" s="29">
        <f t="shared" si="29"/>
        <v>78240333.728840008</v>
      </c>
      <c r="AI30" s="29">
        <f t="shared" si="29"/>
        <v>78405884</v>
      </c>
      <c r="AJ30" s="29">
        <f t="shared" si="29"/>
        <v>79152044</v>
      </c>
    </row>
    <row r="32" spans="1:41" ht="24">
      <c r="A32" s="171" t="s">
        <v>401</v>
      </c>
      <c r="B32" s="171" t="s">
        <v>392</v>
      </c>
      <c r="S32" s="170" t="s">
        <v>314</v>
      </c>
      <c r="T32" s="170" t="s">
        <v>365</v>
      </c>
      <c r="U32" s="170" t="s">
        <v>406</v>
      </c>
      <c r="V32" s="170" t="s">
        <v>409</v>
      </c>
      <c r="W32" s="170" t="s">
        <v>413</v>
      </c>
      <c r="X32" s="170" t="s">
        <v>424</v>
      </c>
      <c r="Y32" s="170" t="s">
        <v>429</v>
      </c>
      <c r="Z32" s="170" t="s">
        <v>435</v>
      </c>
      <c r="AA32" s="271" t="s">
        <v>511</v>
      </c>
      <c r="AB32" s="271" t="s">
        <v>589</v>
      </c>
      <c r="AC32" s="271" t="s">
        <v>595</v>
      </c>
      <c r="AD32" s="271" t="s">
        <v>603</v>
      </c>
      <c r="AE32" s="271" t="s">
        <v>613</v>
      </c>
      <c r="AF32" s="271" t="s">
        <v>627</v>
      </c>
      <c r="AG32" s="271" t="s">
        <v>631</v>
      </c>
      <c r="AH32" s="271" t="s">
        <v>638</v>
      </c>
      <c r="AI32" s="271" t="s">
        <v>644</v>
      </c>
      <c r="AJ32" s="271" t="s">
        <v>647</v>
      </c>
    </row>
    <row r="33" spans="1:36">
      <c r="A33" s="168" t="s">
        <v>89</v>
      </c>
      <c r="B33" s="168" t="s">
        <v>178</v>
      </c>
      <c r="S33" s="20">
        <v>1084842</v>
      </c>
      <c r="T33" s="20">
        <v>1133832</v>
      </c>
      <c r="U33" s="20">
        <v>1172732</v>
      </c>
      <c r="V33" s="20">
        <v>1232493.57274</v>
      </c>
      <c r="W33" s="20">
        <v>1221378</v>
      </c>
      <c r="X33" s="20">
        <v>1322107.0177</v>
      </c>
      <c r="Y33" s="20">
        <v>1415700.4571099998</v>
      </c>
      <c r="Z33" s="20">
        <v>1479645</v>
      </c>
      <c r="AA33" s="20">
        <v>1459789</v>
      </c>
      <c r="AB33" s="20">
        <v>1467759</v>
      </c>
      <c r="AC33" s="20">
        <v>1573046</v>
      </c>
      <c r="AD33" s="20">
        <v>1602752</v>
      </c>
      <c r="AE33" s="20">
        <v>1619705</v>
      </c>
      <c r="AF33" s="20">
        <v>1660470</v>
      </c>
      <c r="AG33" s="20">
        <v>497756</v>
      </c>
      <c r="AH33" s="20">
        <v>362952</v>
      </c>
      <c r="AI33" s="20">
        <v>296593</v>
      </c>
      <c r="AJ33" s="20">
        <v>189762</v>
      </c>
    </row>
    <row r="34" spans="1:36">
      <c r="A34" s="168" t="s">
        <v>226</v>
      </c>
      <c r="B34" s="168" t="s">
        <v>181</v>
      </c>
      <c r="S34" s="20" t="e">
        <f>+#REF!+#REF!</f>
        <v>#REF!</v>
      </c>
      <c r="T34" s="20">
        <f>19912+157</f>
        <v>20069</v>
      </c>
      <c r="U34" s="20">
        <v>19885</v>
      </c>
      <c r="V34" s="20">
        <v>18031.050599999999</v>
      </c>
      <c r="W34" s="20">
        <v>19533</v>
      </c>
      <c r="X34" s="20">
        <v>19317.459360000001</v>
      </c>
      <c r="Y34" s="20">
        <v>19911.941790000001</v>
      </c>
      <c r="Z34" s="20">
        <v>18550</v>
      </c>
      <c r="AA34" s="20">
        <v>15725</v>
      </c>
      <c r="AB34" s="20">
        <v>13239</v>
      </c>
      <c r="AC34" s="20">
        <v>13647</v>
      </c>
      <c r="AD34" s="20">
        <v>13001</v>
      </c>
      <c r="AE34" s="20">
        <v>12680</v>
      </c>
      <c r="AF34" s="20">
        <v>11149</v>
      </c>
      <c r="AG34" s="20">
        <v>25</v>
      </c>
      <c r="AH34" s="20">
        <v>40</v>
      </c>
      <c r="AI34" s="20">
        <v>100</v>
      </c>
      <c r="AJ34" s="20">
        <v>52</v>
      </c>
    </row>
    <row r="35" spans="1:36">
      <c r="A35" s="169" t="s">
        <v>68</v>
      </c>
      <c r="B35" s="169" t="s">
        <v>156</v>
      </c>
      <c r="S35" s="29" t="e">
        <f>+S34+S33</f>
        <v>#REF!</v>
      </c>
      <c r="T35" s="29">
        <f>+T34+T33</f>
        <v>1153901</v>
      </c>
      <c r="U35" s="29">
        <f>+U34+U33</f>
        <v>1192617</v>
      </c>
      <c r="V35" s="29">
        <f>+V34+V33</f>
        <v>1250524.6233399999</v>
      </c>
      <c r="W35" s="29">
        <f>+W34+W33</f>
        <v>1240911</v>
      </c>
      <c r="X35" s="29">
        <v>1341424.4770599999</v>
      </c>
      <c r="Y35" s="29">
        <f>+Y34+Y33</f>
        <v>1435612.3988999999</v>
      </c>
      <c r="Z35" s="29">
        <f>+Z34+Z33</f>
        <v>1498195</v>
      </c>
      <c r="AA35" s="29">
        <f t="shared" ref="AA35:AJ35" si="30">+AA34+AA33</f>
        <v>1475514</v>
      </c>
      <c r="AB35" s="29">
        <f t="shared" si="30"/>
        <v>1480998</v>
      </c>
      <c r="AC35" s="29">
        <f t="shared" si="30"/>
        <v>1586693</v>
      </c>
      <c r="AD35" s="29">
        <f t="shared" si="30"/>
        <v>1615753</v>
      </c>
      <c r="AE35" s="29">
        <f t="shared" si="30"/>
        <v>1632385</v>
      </c>
      <c r="AF35" s="29">
        <f t="shared" si="30"/>
        <v>1671619</v>
      </c>
      <c r="AG35" s="29">
        <f t="shared" si="30"/>
        <v>497781</v>
      </c>
      <c r="AH35" s="29">
        <f t="shared" si="30"/>
        <v>362992</v>
      </c>
      <c r="AI35" s="29">
        <f t="shared" si="30"/>
        <v>296693</v>
      </c>
      <c r="AJ35" s="29">
        <f t="shared" si="30"/>
        <v>189814</v>
      </c>
    </row>
    <row r="36" spans="1:36">
      <c r="T36" s="127"/>
      <c r="U36" s="127"/>
      <c r="V36" s="127"/>
      <c r="W36" s="127"/>
      <c r="X36" s="127"/>
      <c r="Y36" s="127"/>
      <c r="Z36" s="127"/>
      <c r="AA36" s="274"/>
      <c r="AB36" s="274"/>
      <c r="AC36" s="274"/>
      <c r="AD36" s="274"/>
      <c r="AE36" s="274"/>
      <c r="AF36" s="274"/>
      <c r="AG36" s="274"/>
      <c r="AH36" s="274"/>
      <c r="AI36" s="274"/>
      <c r="AJ36" s="274"/>
    </row>
    <row r="37" spans="1:36">
      <c r="A37" s="171" t="s">
        <v>417</v>
      </c>
      <c r="B37" s="171" t="s">
        <v>418</v>
      </c>
      <c r="S37" s="29" t="e">
        <f>+S35+S30</f>
        <v>#REF!</v>
      </c>
      <c r="T37" s="29">
        <f>+T35+T30</f>
        <v>50255867</v>
      </c>
      <c r="U37" s="29">
        <f>+U35+U30</f>
        <v>50915177</v>
      </c>
      <c r="V37" s="29">
        <f>+V35+V30</f>
        <v>52711679.623340003</v>
      </c>
      <c r="W37" s="29">
        <f>+W35+W30</f>
        <v>53939776</v>
      </c>
      <c r="X37" s="29">
        <v>67855209.477060005</v>
      </c>
      <c r="Y37" s="29">
        <f>+Y35+Y30</f>
        <v>69481058.398900002</v>
      </c>
      <c r="Z37" s="29">
        <f>+Z35+Z30</f>
        <v>69615390</v>
      </c>
      <c r="AA37" s="29">
        <f t="shared" ref="AA37:AJ37" si="31">+AA35+AA30</f>
        <v>71971860</v>
      </c>
      <c r="AB37" s="29">
        <f t="shared" si="31"/>
        <v>71339609</v>
      </c>
      <c r="AC37" s="29">
        <f t="shared" si="31"/>
        <v>72421411.751183003</v>
      </c>
      <c r="AD37" s="29">
        <f t="shared" si="31"/>
        <v>73639342</v>
      </c>
      <c r="AE37" s="29">
        <f t="shared" si="31"/>
        <v>74635652</v>
      </c>
      <c r="AF37" s="29">
        <f t="shared" si="31"/>
        <v>75794251</v>
      </c>
      <c r="AG37" s="29">
        <f t="shared" si="31"/>
        <v>77279679</v>
      </c>
      <c r="AH37" s="29">
        <f t="shared" si="31"/>
        <v>78603325.728840008</v>
      </c>
      <c r="AI37" s="29">
        <f t="shared" si="31"/>
        <v>78702577</v>
      </c>
      <c r="AJ37" s="29">
        <f t="shared" si="31"/>
        <v>79341858</v>
      </c>
    </row>
    <row r="38" spans="1:36">
      <c r="C38" s="68"/>
      <c r="D38" s="68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J38" s="305"/>
    </row>
    <row r="39" spans="1:36" ht="24">
      <c r="A39" s="171" t="s">
        <v>208</v>
      </c>
      <c r="B39" s="171" t="s">
        <v>213</v>
      </c>
      <c r="C39" s="100" t="s">
        <v>189</v>
      </c>
      <c r="D39" s="100" t="s">
        <v>191</v>
      </c>
      <c r="E39" s="100" t="s">
        <v>197</v>
      </c>
      <c r="F39" s="100" t="s">
        <v>215</v>
      </c>
      <c r="G39" s="100" t="s">
        <v>219</v>
      </c>
      <c r="H39" s="100" t="s">
        <v>237</v>
      </c>
      <c r="I39" s="100" t="s">
        <v>240</v>
      </c>
      <c r="J39" s="100" t="s">
        <v>243</v>
      </c>
      <c r="K39" s="100" t="s">
        <v>245</v>
      </c>
      <c r="L39" s="100" t="s">
        <v>253</v>
      </c>
      <c r="M39" s="100" t="s">
        <v>256</v>
      </c>
      <c r="N39" s="100" t="s">
        <v>260</v>
      </c>
      <c r="O39" s="100" t="s">
        <v>262</v>
      </c>
      <c r="P39" s="100" t="s">
        <v>273</v>
      </c>
      <c r="Q39" s="100" t="s">
        <v>276</v>
      </c>
      <c r="R39" s="100" t="s">
        <v>283</v>
      </c>
      <c r="S39" s="170" t="s">
        <v>353</v>
      </c>
      <c r="T39" s="170" t="s">
        <v>364</v>
      </c>
      <c r="U39" s="170" t="s">
        <v>403</v>
      </c>
      <c r="V39" s="170" t="s">
        <v>408</v>
      </c>
      <c r="W39" s="170" t="s">
        <v>411</v>
      </c>
      <c r="X39" s="170" t="s">
        <v>421</v>
      </c>
      <c r="Y39" s="170" t="s">
        <v>425</v>
      </c>
      <c r="Z39" s="170" t="s">
        <v>431</v>
      </c>
      <c r="AA39" s="170" t="s">
        <v>510</v>
      </c>
      <c r="AB39" s="170" t="s">
        <v>590</v>
      </c>
      <c r="AC39" s="170" t="s">
        <v>596</v>
      </c>
      <c r="AD39" s="170" t="s">
        <v>607</v>
      </c>
      <c r="AE39" s="170" t="s">
        <v>612</v>
      </c>
      <c r="AF39" s="170" t="s">
        <v>617</v>
      </c>
      <c r="AG39" s="170" t="s">
        <v>629</v>
      </c>
      <c r="AH39" s="170" t="s">
        <v>636</v>
      </c>
      <c r="AI39" s="170" t="s">
        <v>612</v>
      </c>
      <c r="AJ39" s="275" t="s">
        <v>651</v>
      </c>
    </row>
    <row r="40" spans="1:36">
      <c r="A40" s="168" t="s">
        <v>199</v>
      </c>
      <c r="B40" s="168" t="s">
        <v>209</v>
      </c>
      <c r="C40" s="20">
        <v>325178.53782999999</v>
      </c>
      <c r="D40" s="20">
        <v>235999.69176000002</v>
      </c>
      <c r="E40" s="20">
        <v>240969.14009</v>
      </c>
      <c r="F40" s="20">
        <v>215808.15065000008</v>
      </c>
      <c r="G40" s="20">
        <v>172747.93235999998</v>
      </c>
      <c r="H40" s="20">
        <v>155845.44564000005</v>
      </c>
      <c r="I40" s="20">
        <v>151603.61952999991</v>
      </c>
      <c r="J40" s="20">
        <v>206702.21825999999</v>
      </c>
      <c r="K40" s="20">
        <v>229627.52849999999</v>
      </c>
      <c r="L40" s="20">
        <v>252877.38209</v>
      </c>
      <c r="M40" s="20">
        <v>208731.92252999998</v>
      </c>
      <c r="N40" s="20">
        <v>204249.1277500001</v>
      </c>
      <c r="O40" s="20">
        <v>427019.60679999995</v>
      </c>
      <c r="P40" s="20">
        <v>628379.59853000008</v>
      </c>
      <c r="Q40" s="20">
        <v>725459.60420000018</v>
      </c>
      <c r="R40" s="20">
        <v>756442.81199999992</v>
      </c>
      <c r="S40" s="20">
        <v>748359.92855999991</v>
      </c>
      <c r="T40" s="20">
        <v>863214.91701999982</v>
      </c>
      <c r="U40" s="20">
        <v>826269.55774999945</v>
      </c>
      <c r="V40" s="20">
        <v>892206.71239</v>
      </c>
      <c r="W40" s="20">
        <v>855738.11329000001</v>
      </c>
      <c r="X40" s="20">
        <v>1070157.5</v>
      </c>
      <c r="Y40" s="20">
        <v>1200712.7</v>
      </c>
      <c r="Z40" s="20">
        <v>1167730</v>
      </c>
      <c r="AA40" s="20">
        <v>1343161.07057</v>
      </c>
      <c r="AB40" s="20">
        <v>1545330.9851899999</v>
      </c>
      <c r="AC40" s="20">
        <v>1749470.8791500004</v>
      </c>
      <c r="AD40" s="20">
        <v>2021307.4980800003</v>
      </c>
      <c r="AE40" s="20">
        <v>2140688.8827499999</v>
      </c>
      <c r="AF40" s="20">
        <v>2564577.0901800003</v>
      </c>
      <c r="AG40" s="20">
        <v>2248901.6647499995</v>
      </c>
      <c r="AH40" s="20">
        <v>2798701.6543400008</v>
      </c>
      <c r="AI40" s="20">
        <v>1984647.8798199999</v>
      </c>
      <c r="AJ40" s="20">
        <v>2218579.3639199999</v>
      </c>
    </row>
    <row r="41" spans="1:36">
      <c r="A41" s="168" t="s">
        <v>200</v>
      </c>
      <c r="B41" s="168" t="s">
        <v>210</v>
      </c>
      <c r="C41" s="20">
        <v>446790.32225999999</v>
      </c>
      <c r="D41" s="20">
        <v>516117.94455000019</v>
      </c>
      <c r="E41" s="20">
        <v>577626.35250000004</v>
      </c>
      <c r="F41" s="20">
        <v>589479.70348000014</v>
      </c>
      <c r="G41" s="20">
        <v>674352.51968000014</v>
      </c>
      <c r="H41" s="20">
        <v>669269.74951999995</v>
      </c>
      <c r="I41" s="20">
        <v>583853.86268999986</v>
      </c>
      <c r="J41" s="20">
        <v>556571.69283000031</v>
      </c>
      <c r="K41" s="20">
        <v>619160.93426000001</v>
      </c>
      <c r="L41" s="20">
        <v>647430.63153999997</v>
      </c>
      <c r="M41" s="20">
        <v>512173.24245999998</v>
      </c>
      <c r="N41" s="20">
        <v>486063.92428000073</v>
      </c>
      <c r="O41" s="20">
        <v>557605.47565000004</v>
      </c>
      <c r="P41" s="20">
        <v>571966.86201000016</v>
      </c>
      <c r="Q41" s="20">
        <v>599350.85854999989</v>
      </c>
      <c r="R41" s="20">
        <v>575054.24468999973</v>
      </c>
      <c r="S41" s="20">
        <v>769005.90110000002</v>
      </c>
      <c r="T41" s="20">
        <v>821486.45424000011</v>
      </c>
      <c r="U41" s="20">
        <v>810059.19527999987</v>
      </c>
      <c r="V41" s="20">
        <v>808994.8036199999</v>
      </c>
      <c r="W41" s="20">
        <v>988453.46557999996</v>
      </c>
      <c r="X41" s="20">
        <v>1309140.2</v>
      </c>
      <c r="Y41" s="20">
        <v>1548745.983</v>
      </c>
      <c r="Z41" s="20">
        <v>1116260.6850999999</v>
      </c>
      <c r="AA41" s="20">
        <v>1297170.05165</v>
      </c>
      <c r="AB41" s="20">
        <v>1080513.3442199999</v>
      </c>
      <c r="AC41" s="20">
        <v>1214062.1387799997</v>
      </c>
      <c r="AD41" s="20">
        <v>1028139.9999999999</v>
      </c>
      <c r="AE41" s="20">
        <v>1274302.7708399999</v>
      </c>
      <c r="AF41" s="20">
        <v>1438800.3178399999</v>
      </c>
      <c r="AG41" s="20">
        <v>1579261.3014400003</v>
      </c>
      <c r="AH41" s="20">
        <v>1300889.6607000006</v>
      </c>
      <c r="AI41" s="20">
        <v>1120066.1770500001</v>
      </c>
      <c r="AJ41" s="20">
        <v>1412962.6424199997</v>
      </c>
    </row>
    <row r="42" spans="1:36">
      <c r="A42" s="168" t="s">
        <v>201</v>
      </c>
      <c r="B42" s="168" t="s">
        <v>211</v>
      </c>
      <c r="C42" s="20">
        <v>501024.54350403801</v>
      </c>
      <c r="D42" s="20">
        <v>581151.37171175738</v>
      </c>
      <c r="E42" s="20">
        <v>651514.77243446303</v>
      </c>
      <c r="F42" s="20">
        <v>518718.54961397988</v>
      </c>
      <c r="G42" s="20">
        <v>538256.36392365268</v>
      </c>
      <c r="H42" s="20">
        <v>632994.77458088647</v>
      </c>
      <c r="I42" s="20">
        <v>575674.92971072299</v>
      </c>
      <c r="J42" s="20">
        <v>715169.06928203581</v>
      </c>
      <c r="K42" s="20">
        <v>635910.98789117998</v>
      </c>
      <c r="L42" s="20">
        <v>650777.29897475825</v>
      </c>
      <c r="M42" s="20">
        <v>653296.76105166506</v>
      </c>
      <c r="N42" s="20">
        <v>702909.24547111779</v>
      </c>
      <c r="O42" s="20">
        <v>689845.82016191189</v>
      </c>
      <c r="P42" s="20">
        <v>755184.20550445095</v>
      </c>
      <c r="Q42" s="20">
        <v>751176.81744054402</v>
      </c>
      <c r="R42" s="20">
        <v>837512.97619112395</v>
      </c>
      <c r="S42" s="20">
        <v>802209.19985499594</v>
      </c>
      <c r="T42" s="20">
        <v>856462.69321789488</v>
      </c>
      <c r="U42" s="20">
        <v>781231.49213835201</v>
      </c>
      <c r="V42" s="20">
        <v>1063792.364628139</v>
      </c>
      <c r="W42" s="20">
        <v>862398.04227112699</v>
      </c>
      <c r="X42" s="20">
        <v>896559.18792210333</v>
      </c>
      <c r="Y42" s="20">
        <v>748760.47972563142</v>
      </c>
      <c r="Z42" s="20">
        <v>962995.00216276757</v>
      </c>
      <c r="AA42" s="20">
        <v>618296.73819516413</v>
      </c>
      <c r="AB42" s="20">
        <v>563024.8109483365</v>
      </c>
      <c r="AC42" s="20">
        <v>520249.06826727674</v>
      </c>
      <c r="AD42" s="20">
        <v>773609.8327635217</v>
      </c>
      <c r="AE42" s="20">
        <v>761597.09946196212</v>
      </c>
      <c r="AF42" s="20">
        <v>1022279.0890324159</v>
      </c>
      <c r="AG42" s="20">
        <v>1017377.2566156981</v>
      </c>
      <c r="AH42" s="20">
        <v>1075685.4116165135</v>
      </c>
      <c r="AI42" s="20">
        <v>856177.79501622915</v>
      </c>
      <c r="AJ42" s="20">
        <v>905000</v>
      </c>
    </row>
    <row r="43" spans="1:36">
      <c r="A43" s="168" t="s">
        <v>202</v>
      </c>
      <c r="B43" s="168" t="s">
        <v>212</v>
      </c>
      <c r="C43" s="20">
        <v>2584293.4007299999</v>
      </c>
      <c r="D43" s="20">
        <v>2900135.1494700005</v>
      </c>
      <c r="E43" s="20">
        <v>3126147.7364299987</v>
      </c>
      <c r="F43" s="20">
        <v>3511125.0124900006</v>
      </c>
      <c r="G43" s="20">
        <v>3029360.81666</v>
      </c>
      <c r="H43" s="20">
        <v>3159558.2165400004</v>
      </c>
      <c r="I43" s="20">
        <v>3438822.7824599994</v>
      </c>
      <c r="J43" s="20">
        <v>3833821.6627799999</v>
      </c>
      <c r="K43" s="20">
        <v>3473500.4588799998</v>
      </c>
      <c r="L43" s="20">
        <v>3709123.6136500007</v>
      </c>
      <c r="M43" s="20">
        <v>3703389.9756899988</v>
      </c>
      <c r="N43" s="20">
        <v>3754055.8879300002</v>
      </c>
      <c r="O43" s="20">
        <v>3756901.8097799998</v>
      </c>
      <c r="P43" s="20">
        <v>4221949.3301499989</v>
      </c>
      <c r="Q43" s="20">
        <v>4302664.0128199998</v>
      </c>
      <c r="R43" s="20">
        <v>4512463.0767099988</v>
      </c>
      <c r="S43" s="20">
        <v>4599784.0835999995</v>
      </c>
      <c r="T43" s="20">
        <v>4840869.1718499996</v>
      </c>
      <c r="U43" s="20">
        <v>4832390.8778399993</v>
      </c>
      <c r="V43" s="20">
        <v>5493946.3510800023</v>
      </c>
      <c r="W43" s="20">
        <v>4927104.9210599903</v>
      </c>
      <c r="X43" s="20">
        <v>5300854.0608600099</v>
      </c>
      <c r="Y43" s="20">
        <v>5144500.5081099998</v>
      </c>
      <c r="Z43" s="20">
        <v>5670938.5808799993</v>
      </c>
      <c r="AA43" s="20">
        <v>5207709.4682700001</v>
      </c>
      <c r="AB43" s="20">
        <v>5047118.4380799998</v>
      </c>
      <c r="AC43" s="20">
        <v>5971040.2210200001</v>
      </c>
      <c r="AD43" s="20">
        <v>7001904.2427299991</v>
      </c>
      <c r="AE43" s="20">
        <v>6486879.7029299997</v>
      </c>
      <c r="AF43" s="20">
        <v>6896412.6758100018</v>
      </c>
      <c r="AG43" s="20">
        <v>6568054.4116200022</v>
      </c>
      <c r="AH43" s="20">
        <v>7244639.276659999</v>
      </c>
      <c r="AI43" s="20">
        <v>6661288.2193</v>
      </c>
      <c r="AJ43" s="20">
        <v>7005576.86314</v>
      </c>
    </row>
    <row r="44" spans="1:36"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J44" s="274"/>
    </row>
    <row r="45" spans="1:36"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J45" s="274"/>
    </row>
    <row r="46" spans="1:36"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J46" s="274"/>
    </row>
    <row r="47" spans="1:36" ht="12.5" thickBot="1">
      <c r="A47" s="171" t="s">
        <v>91</v>
      </c>
      <c r="B47" s="171" t="s">
        <v>174</v>
      </c>
      <c r="C47" s="100" t="s">
        <v>190</v>
      </c>
      <c r="D47" s="100" t="s">
        <v>193</v>
      </c>
      <c r="E47" s="100" t="s">
        <v>198</v>
      </c>
      <c r="F47" s="100" t="s">
        <v>214</v>
      </c>
      <c r="G47" s="100" t="s">
        <v>220</v>
      </c>
      <c r="H47" s="100" t="s">
        <v>236</v>
      </c>
      <c r="I47" s="100" t="s">
        <v>241</v>
      </c>
      <c r="J47" s="100" t="s">
        <v>244</v>
      </c>
      <c r="K47" s="100" t="s">
        <v>246</v>
      </c>
      <c r="L47" s="100" t="s">
        <v>254</v>
      </c>
      <c r="M47" s="100" t="s">
        <v>255</v>
      </c>
      <c r="N47" s="100" t="s">
        <v>261</v>
      </c>
      <c r="O47" s="100" t="s">
        <v>263</v>
      </c>
      <c r="P47" s="100" t="s">
        <v>274</v>
      </c>
      <c r="Q47" s="100" t="s">
        <v>279</v>
      </c>
      <c r="R47" s="100" t="s">
        <v>284</v>
      </c>
      <c r="S47" s="170" t="s">
        <v>314</v>
      </c>
      <c r="T47" s="170" t="s">
        <v>365</v>
      </c>
      <c r="U47" s="170" t="s">
        <v>406</v>
      </c>
      <c r="V47" s="170" t="s">
        <v>409</v>
      </c>
      <c r="W47" s="170" t="s">
        <v>413</v>
      </c>
      <c r="X47" s="170" t="s">
        <v>424</v>
      </c>
      <c r="Y47" s="170" t="s">
        <v>429</v>
      </c>
      <c r="Z47" s="170" t="s">
        <v>435</v>
      </c>
      <c r="AA47" s="275" t="s">
        <v>511</v>
      </c>
      <c r="AB47" s="275" t="s">
        <v>589</v>
      </c>
      <c r="AC47" s="275" t="s">
        <v>595</v>
      </c>
      <c r="AD47" s="275" t="s">
        <v>603</v>
      </c>
      <c r="AE47" s="275" t="s">
        <v>613</v>
      </c>
      <c r="AF47" s="275" t="s">
        <v>627</v>
      </c>
      <c r="AG47" s="275" t="s">
        <v>631</v>
      </c>
      <c r="AH47" s="275" t="s">
        <v>638</v>
      </c>
      <c r="AI47" s="275" t="s">
        <v>644</v>
      </c>
      <c r="AJ47" s="275" t="s">
        <v>647</v>
      </c>
    </row>
    <row r="48" spans="1:36" ht="12.5" thickBot="1">
      <c r="A48" s="163" t="s">
        <v>82</v>
      </c>
      <c r="B48" s="165" t="s">
        <v>175</v>
      </c>
      <c r="C48" s="29">
        <f t="shared" ref="C48:H48" si="32">+C49+C50</f>
        <v>45320166</v>
      </c>
      <c r="D48" s="29">
        <f t="shared" si="32"/>
        <v>45970077.281099997</v>
      </c>
      <c r="E48" s="29">
        <f t="shared" si="32"/>
        <v>47434828.469020002</v>
      </c>
      <c r="F48" s="29">
        <f t="shared" si="32"/>
        <v>47591243.740669996</v>
      </c>
      <c r="G48" s="29">
        <f t="shared" si="32"/>
        <v>48973195.300719999</v>
      </c>
      <c r="H48" s="29">
        <f t="shared" si="32"/>
        <v>50233616.243989997</v>
      </c>
      <c r="I48" s="29">
        <f>+I49+I50</f>
        <v>51188116</v>
      </c>
      <c r="J48" s="29">
        <f>+J49+J50</f>
        <v>52810389.201919995</v>
      </c>
      <c r="K48" s="29">
        <v>52009985</v>
      </c>
      <c r="L48" s="29">
        <v>53360177</v>
      </c>
      <c r="M48" s="29">
        <v>54297732</v>
      </c>
      <c r="N48" s="29">
        <f>+N49+N50</f>
        <v>55875609.299999997</v>
      </c>
      <c r="O48" s="29">
        <f>+O49+O50</f>
        <v>56375552.604509994</v>
      </c>
      <c r="P48" s="29">
        <f>+P49+P50</f>
        <v>56987958.469630003</v>
      </c>
      <c r="Q48" s="29">
        <f>+Q49+Q50</f>
        <v>56678525.877420001</v>
      </c>
      <c r="R48" s="29">
        <f>+R49+R50</f>
        <v>57273255</v>
      </c>
      <c r="S48" s="29">
        <v>59473880</v>
      </c>
      <c r="T48" s="29">
        <f>+T49+T50</f>
        <v>59831479.286490001</v>
      </c>
      <c r="U48" s="29">
        <f>+U49+U50</f>
        <v>60222668</v>
      </c>
      <c r="V48" s="29">
        <f>+V49+V50</f>
        <v>66243768.815210007</v>
      </c>
      <c r="W48" s="29">
        <f>+W49+W50</f>
        <v>66672619.749835499</v>
      </c>
      <c r="X48" s="29">
        <v>76827811</v>
      </c>
      <c r="Y48" s="29">
        <f>+Y49+Y50</f>
        <v>80341143</v>
      </c>
      <c r="Z48" s="29">
        <f>+Z49+Z50</f>
        <v>81454765</v>
      </c>
      <c r="AA48" s="29">
        <f t="shared" ref="AA48:AJ48" si="33">+AA49+AA50</f>
        <v>83583600</v>
      </c>
      <c r="AB48" s="29">
        <f t="shared" si="33"/>
        <v>86254624.791419998</v>
      </c>
      <c r="AC48" s="29">
        <f t="shared" si="33"/>
        <v>85852463</v>
      </c>
      <c r="AD48" s="29">
        <f t="shared" si="33"/>
        <v>81510539.548079997</v>
      </c>
      <c r="AE48" s="29">
        <f t="shared" si="33"/>
        <v>88254606</v>
      </c>
      <c r="AF48" s="29">
        <f t="shared" si="33"/>
        <v>89998487.015480042</v>
      </c>
      <c r="AG48" s="29">
        <f t="shared" si="33"/>
        <v>90250053</v>
      </c>
      <c r="AH48" s="29">
        <f t="shared" si="33"/>
        <v>91447515</v>
      </c>
      <c r="AI48" s="29">
        <f t="shared" si="33"/>
        <v>97304820</v>
      </c>
      <c r="AJ48" s="29">
        <f t="shared" si="33"/>
        <v>96122029</v>
      </c>
    </row>
    <row r="49" spans="1:36" ht="12.5" thickBot="1">
      <c r="A49" s="164" t="s">
        <v>83</v>
      </c>
      <c r="B49" s="166" t="s">
        <v>176</v>
      </c>
      <c r="C49" s="20">
        <v>27762058</v>
      </c>
      <c r="D49" s="20">
        <v>28550569.7665</v>
      </c>
      <c r="E49" s="20">
        <v>29401309.111000001</v>
      </c>
      <c r="F49" s="20">
        <v>29779949.572500002</v>
      </c>
      <c r="G49" s="20">
        <v>30599088.3807</v>
      </c>
      <c r="H49" s="20">
        <v>31785270.081670001</v>
      </c>
      <c r="I49" s="20">
        <v>32945983</v>
      </c>
      <c r="J49" s="20">
        <v>35616412.464299999</v>
      </c>
      <c r="K49" s="20">
        <v>36229446</v>
      </c>
      <c r="L49" s="20">
        <v>37545974</v>
      </c>
      <c r="M49" s="20">
        <v>38227192</v>
      </c>
      <c r="N49" s="20">
        <v>39681704.299999997</v>
      </c>
      <c r="O49" s="20">
        <v>41008935.664700001</v>
      </c>
      <c r="P49" s="20">
        <v>40414346.560000002</v>
      </c>
      <c r="Q49" s="20">
        <v>40081457.182799995</v>
      </c>
      <c r="R49" s="20">
        <v>40343597</v>
      </c>
      <c r="S49" s="20">
        <v>43146054</v>
      </c>
      <c r="T49" s="20">
        <v>43303180.958340004</v>
      </c>
      <c r="U49" s="20">
        <v>44186453</v>
      </c>
      <c r="V49" s="20">
        <v>47730280.466649994</v>
      </c>
      <c r="W49" s="20">
        <v>47827065.052319996</v>
      </c>
      <c r="X49" s="20">
        <v>57638441</v>
      </c>
      <c r="Y49" s="20">
        <v>60598603</v>
      </c>
      <c r="Z49" s="20">
        <v>61091901</v>
      </c>
      <c r="AA49" s="20">
        <v>63328296</v>
      </c>
      <c r="AB49" s="20">
        <v>63436307.864519998</v>
      </c>
      <c r="AC49" s="20">
        <v>61933166</v>
      </c>
      <c r="AD49" s="20">
        <v>61874920</v>
      </c>
      <c r="AE49" s="20">
        <v>64263556</v>
      </c>
      <c r="AF49" s="20">
        <v>64966052.050130047</v>
      </c>
      <c r="AG49" s="20">
        <v>64965000</v>
      </c>
      <c r="AH49" s="20">
        <v>66022086</v>
      </c>
      <c r="AI49" s="20">
        <v>64271506</v>
      </c>
      <c r="AJ49" s="20">
        <v>65165193</v>
      </c>
    </row>
    <row r="50" spans="1:36" ht="12.5" thickBot="1">
      <c r="A50" s="164" t="s">
        <v>225</v>
      </c>
      <c r="B50" s="167" t="s">
        <v>177</v>
      </c>
      <c r="C50" s="20">
        <v>17558108</v>
      </c>
      <c r="D50" s="20">
        <v>17419507.514599998</v>
      </c>
      <c r="E50" s="20">
        <v>18033519.35802</v>
      </c>
      <c r="F50" s="20">
        <v>17811294.168169994</v>
      </c>
      <c r="G50" s="20">
        <v>18374106.920019999</v>
      </c>
      <c r="H50" s="20">
        <v>18448346.162319995</v>
      </c>
      <c r="I50" s="20">
        <v>18242133</v>
      </c>
      <c r="J50" s="20">
        <v>17193976.737619996</v>
      </c>
      <c r="K50" s="20">
        <v>15780540</v>
      </c>
      <c r="L50" s="20">
        <v>15814203</v>
      </c>
      <c r="M50" s="20">
        <v>16070540</v>
      </c>
      <c r="N50" s="20">
        <v>16193905</v>
      </c>
      <c r="O50" s="20">
        <v>15366616.939809993</v>
      </c>
      <c r="P50" s="20">
        <v>16573611.909630001</v>
      </c>
      <c r="Q50" s="20">
        <v>16597068.694620006</v>
      </c>
      <c r="R50" s="20">
        <v>16929658</v>
      </c>
      <c r="S50" s="20">
        <v>16327826</v>
      </c>
      <c r="T50" s="20">
        <v>16528298.328149997</v>
      </c>
      <c r="U50" s="20">
        <v>16036215</v>
      </c>
      <c r="V50" s="20">
        <v>18513488.348560013</v>
      </c>
      <c r="W50" s="20">
        <v>18845554.697515503</v>
      </c>
      <c r="X50" s="20">
        <v>19189369</v>
      </c>
      <c r="Y50" s="20">
        <v>19742540</v>
      </c>
      <c r="Z50" s="20">
        <v>20362864</v>
      </c>
      <c r="AA50" s="20">
        <v>20255304</v>
      </c>
      <c r="AB50" s="20">
        <v>22818316.926899999</v>
      </c>
      <c r="AC50" s="20">
        <v>23919297</v>
      </c>
      <c r="AD50" s="20">
        <v>19635619.54807999</v>
      </c>
      <c r="AE50" s="20">
        <v>23991050</v>
      </c>
      <c r="AF50" s="20">
        <v>25032434.965349995</v>
      </c>
      <c r="AG50" s="20">
        <v>25285053</v>
      </c>
      <c r="AH50" s="20">
        <v>25425429</v>
      </c>
      <c r="AI50" s="20">
        <v>33033314</v>
      </c>
      <c r="AJ50" s="20">
        <v>30956836</v>
      </c>
    </row>
    <row r="51" spans="1:36" ht="12.5" thickBot="1"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28"/>
      <c r="AH51" s="28"/>
      <c r="AJ51" s="81"/>
    </row>
    <row r="52" spans="1:36" ht="12.5" thickBot="1">
      <c r="A52" s="171" t="s">
        <v>228</v>
      </c>
      <c r="B52" s="171" t="s">
        <v>229</v>
      </c>
      <c r="C52" s="59" t="s">
        <v>190</v>
      </c>
      <c r="D52" s="59" t="s">
        <v>193</v>
      </c>
      <c r="E52" s="59" t="s">
        <v>198</v>
      </c>
      <c r="F52" s="59" t="s">
        <v>214</v>
      </c>
      <c r="G52" s="59" t="s">
        <v>220</v>
      </c>
      <c r="H52" s="59" t="s">
        <v>236</v>
      </c>
      <c r="I52" s="59" t="s">
        <v>241</v>
      </c>
      <c r="J52" s="59" t="s">
        <v>244</v>
      </c>
      <c r="K52" s="59" t="s">
        <v>246</v>
      </c>
      <c r="L52" s="59" t="s">
        <v>254</v>
      </c>
      <c r="M52" s="59" t="s">
        <v>255</v>
      </c>
      <c r="N52" s="59" t="s">
        <v>261</v>
      </c>
      <c r="O52" s="59" t="s">
        <v>263</v>
      </c>
      <c r="P52" s="59" t="s">
        <v>274</v>
      </c>
      <c r="Q52" s="59" t="s">
        <v>279</v>
      </c>
      <c r="R52" s="59" t="s">
        <v>284</v>
      </c>
      <c r="S52" s="170" t="s">
        <v>314</v>
      </c>
      <c r="T52" s="170" t="s">
        <v>365</v>
      </c>
      <c r="U52" s="170" t="s">
        <v>406</v>
      </c>
      <c r="V52" s="170" t="s">
        <v>409</v>
      </c>
      <c r="W52" s="170" t="s">
        <v>413</v>
      </c>
      <c r="X52" s="170" t="s">
        <v>424</v>
      </c>
      <c r="Y52" s="170" t="s">
        <v>429</v>
      </c>
      <c r="Z52" s="170" t="s">
        <v>435</v>
      </c>
      <c r="AA52" s="170" t="s">
        <v>511</v>
      </c>
      <c r="AB52" s="170" t="s">
        <v>589</v>
      </c>
      <c r="AC52" s="170" t="s">
        <v>595</v>
      </c>
      <c r="AD52" s="170" t="s">
        <v>603</v>
      </c>
      <c r="AE52" s="170" t="s">
        <v>613</v>
      </c>
      <c r="AF52" s="170" t="s">
        <v>627</v>
      </c>
      <c r="AG52" s="170" t="s">
        <v>631</v>
      </c>
      <c r="AH52" s="275" t="s">
        <v>638</v>
      </c>
      <c r="AI52" s="275" t="s">
        <v>644</v>
      </c>
      <c r="AJ52" s="275" t="s">
        <v>647</v>
      </c>
    </row>
    <row r="53" spans="1:36" ht="12.5" thickBot="1">
      <c r="A53" s="165" t="s">
        <v>230</v>
      </c>
      <c r="B53" s="165" t="s">
        <v>231</v>
      </c>
      <c r="C53" s="29">
        <v>6559324.2781099994</v>
      </c>
      <c r="D53" s="29">
        <v>6671989</v>
      </c>
      <c r="E53" s="29">
        <v>6733762.0000000009</v>
      </c>
      <c r="F53" s="29">
        <v>6806442.3709199997</v>
      </c>
      <c r="G53" s="29">
        <v>7526840.8761500008</v>
      </c>
      <c r="H53" s="29">
        <v>7765433</v>
      </c>
      <c r="I53" s="29">
        <v>7258080.6532499995</v>
      </c>
      <c r="J53" s="29">
        <v>7243376.8999999994</v>
      </c>
      <c r="K53" s="29">
        <v>6909103.4010600001</v>
      </c>
      <c r="L53" s="29">
        <v>6970981.2922</v>
      </c>
      <c r="M53" s="29">
        <v>7244883</v>
      </c>
      <c r="N53" s="29">
        <v>7379181.0970999999</v>
      </c>
      <c r="O53" s="29">
        <v>7845886.2686300008</v>
      </c>
      <c r="P53" s="29">
        <v>8447565.2095800005</v>
      </c>
      <c r="Q53" s="29">
        <v>8953924.6276699994</v>
      </c>
      <c r="R53" s="29">
        <v>9339052.2520773895</v>
      </c>
      <c r="S53" s="29">
        <v>9606273.7520000003</v>
      </c>
      <c r="T53" s="29">
        <v>9404569.7300000004</v>
      </c>
      <c r="U53" s="29">
        <v>9095506.6760000009</v>
      </c>
      <c r="V53" s="29">
        <v>8479112.3795410004</v>
      </c>
      <c r="W53" s="29">
        <f>+W54+W55+W56</f>
        <v>8805230.6596670002</v>
      </c>
      <c r="X53" s="29">
        <v>8762274.1099999994</v>
      </c>
      <c r="Y53" s="29">
        <f>+Y54+Y55+Y56</f>
        <v>8774467.862275308</v>
      </c>
      <c r="Z53" s="29">
        <f>+Z54+Z55+Z56</f>
        <v>8840550.9887009561</v>
      </c>
      <c r="AA53" s="29">
        <f>+AA54+AA55+AA56</f>
        <v>7116242.7698730202</v>
      </c>
      <c r="AB53" s="29">
        <f>+AB54+AB55+AB56</f>
        <v>7649257.9719399996</v>
      </c>
      <c r="AC53" s="29">
        <f>+AC54+AC55+AC56</f>
        <v>8280436.9057700001</v>
      </c>
      <c r="AD53" s="29">
        <f t="shared" ref="AD53:AE53" si="34">+AD54+AD55+AD56</f>
        <v>8753148.4785000011</v>
      </c>
      <c r="AE53" s="29">
        <f t="shared" si="34"/>
        <v>9163718.1640045177</v>
      </c>
      <c r="AF53" s="29">
        <f>+AF54+AF55+AF56</f>
        <v>9485703.9973338991</v>
      </c>
      <c r="AG53" s="29">
        <f>+AG54+AG55+AG56</f>
        <v>9569506.4399644397</v>
      </c>
      <c r="AH53" s="29">
        <f>+AH54+AH55+AH56</f>
        <v>8977783.6740000006</v>
      </c>
      <c r="AI53" s="29">
        <v>7927835.9608613998</v>
      </c>
      <c r="AJ53" s="29">
        <f t="shared" ref="AJ53" si="35">+AJ54+AJ55+AJ56</f>
        <v>6786965.20145032</v>
      </c>
    </row>
    <row r="54" spans="1:36" ht="12.5" thickBot="1">
      <c r="A54" s="166" t="s">
        <v>280</v>
      </c>
      <c r="B54" s="166" t="s">
        <v>281</v>
      </c>
      <c r="C54" s="20">
        <v>363400</v>
      </c>
      <c r="D54" s="20">
        <v>347866</v>
      </c>
      <c r="E54" s="20">
        <v>331293</v>
      </c>
      <c r="F54" s="20">
        <v>332443</v>
      </c>
      <c r="G54" s="20">
        <v>327497.13204</v>
      </c>
      <c r="H54" s="20">
        <v>307659</v>
      </c>
      <c r="I54" s="20">
        <v>314978</v>
      </c>
      <c r="J54" s="20">
        <v>301527</v>
      </c>
      <c r="K54" s="20">
        <v>358893</v>
      </c>
      <c r="L54" s="20">
        <v>429025</v>
      </c>
      <c r="M54" s="20">
        <v>404173</v>
      </c>
      <c r="N54" s="20">
        <v>403102</v>
      </c>
      <c r="O54" s="20">
        <v>411444</v>
      </c>
      <c r="P54" s="20">
        <v>428972</v>
      </c>
      <c r="Q54" s="20">
        <v>452898</v>
      </c>
      <c r="R54" s="20">
        <v>457251</v>
      </c>
      <c r="S54" s="20">
        <v>460995</v>
      </c>
      <c r="T54" s="20">
        <v>407343.64799999999</v>
      </c>
      <c r="U54" s="20">
        <v>427581.20699999999</v>
      </c>
      <c r="V54" s="20">
        <v>507589.03103000001</v>
      </c>
      <c r="W54" s="20">
        <v>593758.42929999996</v>
      </c>
      <c r="X54" s="20">
        <v>667976.39300000004</v>
      </c>
      <c r="Y54" s="20">
        <v>639440.32627530803</v>
      </c>
      <c r="Z54" s="20">
        <v>630902.33545456501</v>
      </c>
      <c r="AA54" s="20">
        <v>545092.33219999995</v>
      </c>
      <c r="AB54" s="20">
        <v>516286.74609999999</v>
      </c>
      <c r="AC54" s="20">
        <v>407478.61</v>
      </c>
      <c r="AD54" s="20">
        <v>308227.3</v>
      </c>
      <c r="AE54" s="20">
        <v>172665.83063479699</v>
      </c>
      <c r="AF54" s="20">
        <v>60424.387070218603</v>
      </c>
      <c r="AG54" s="20">
        <v>39650</v>
      </c>
      <c r="AH54" s="20">
        <v>39450</v>
      </c>
      <c r="AI54" s="20">
        <v>39450</v>
      </c>
      <c r="AJ54" s="20">
        <v>0</v>
      </c>
    </row>
    <row r="55" spans="1:36" ht="12.5" thickBot="1">
      <c r="A55" s="167" t="s">
        <v>232</v>
      </c>
      <c r="B55" s="167" t="s">
        <v>233</v>
      </c>
      <c r="C55" s="20">
        <v>3471418.2779999999</v>
      </c>
      <c r="D55" s="20">
        <v>3526055</v>
      </c>
      <c r="E55" s="20">
        <v>3575310</v>
      </c>
      <c r="F55" s="20">
        <v>3567543.3709200001</v>
      </c>
      <c r="G55" s="20">
        <v>4107116.7441099999</v>
      </c>
      <c r="H55" s="20">
        <v>4202102.0161800003</v>
      </c>
      <c r="I55" s="20">
        <v>3974562.65325</v>
      </c>
      <c r="J55" s="20">
        <v>3969009</v>
      </c>
      <c r="K55" s="20">
        <v>3776891</v>
      </c>
      <c r="L55" s="20">
        <v>3754936.3</v>
      </c>
      <c r="M55" s="20">
        <v>3904080.51</v>
      </c>
      <c r="N55" s="20">
        <v>3982111.1</v>
      </c>
      <c r="O55" s="20">
        <v>4272183.4467700003</v>
      </c>
      <c r="P55" s="20">
        <v>4599591.2095799996</v>
      </c>
      <c r="Q55" s="20">
        <v>4871548.6276700003</v>
      </c>
      <c r="R55" s="20">
        <v>4958807.12096</v>
      </c>
      <c r="S55" s="20">
        <v>4958708.7685599998</v>
      </c>
      <c r="T55" s="20">
        <v>4679382.88</v>
      </c>
      <c r="U55" s="20">
        <v>4403674.90735</v>
      </c>
      <c r="V55" s="20">
        <v>4221978.6551099997</v>
      </c>
      <c r="W55" s="20">
        <v>4466266.9029999999</v>
      </c>
      <c r="X55" s="20">
        <v>4568681.8</v>
      </c>
      <c r="Y55" s="20">
        <v>4534237.6359999999</v>
      </c>
      <c r="Z55" s="20">
        <v>4529254.96361</v>
      </c>
      <c r="AA55" s="20">
        <v>3614521.15644</v>
      </c>
      <c r="AB55" s="20">
        <v>3770551.5216399999</v>
      </c>
      <c r="AC55" s="20">
        <v>4266958.9467700003</v>
      </c>
      <c r="AD55" s="20">
        <v>4567956.7454000004</v>
      </c>
      <c r="AE55" s="20">
        <v>4942791.5616600001</v>
      </c>
      <c r="AF55" s="20">
        <v>5250767.1666299999</v>
      </c>
      <c r="AG55" s="20">
        <v>5490826.76982</v>
      </c>
      <c r="AH55" s="20">
        <v>5239932.9740000004</v>
      </c>
      <c r="AI55" s="20">
        <v>4449715.88741</v>
      </c>
      <c r="AJ55" s="20">
        <v>3853309.44141</v>
      </c>
    </row>
    <row r="56" spans="1:36" ht="24.5" thickBot="1">
      <c r="A56" s="167" t="s">
        <v>234</v>
      </c>
      <c r="B56" s="167" t="s">
        <v>235</v>
      </c>
      <c r="C56" s="20">
        <v>2724506.0001099994</v>
      </c>
      <c r="D56" s="20">
        <v>2798068</v>
      </c>
      <c r="E56" s="20">
        <v>2827158.9999999995</v>
      </c>
      <c r="F56" s="20">
        <v>2906456</v>
      </c>
      <c r="G56" s="20">
        <v>3092227.0000000005</v>
      </c>
      <c r="H56" s="20">
        <v>3255671.9838199997</v>
      </c>
      <c r="I56" s="20">
        <v>2968540.0000000009</v>
      </c>
      <c r="J56" s="20">
        <v>2972841.0399700003</v>
      </c>
      <c r="K56" s="20">
        <v>2773319.0000000009</v>
      </c>
      <c r="L56" s="20">
        <v>2787020</v>
      </c>
      <c r="M56" s="20">
        <v>2936629.49443</v>
      </c>
      <c r="N56" s="20">
        <v>2993968</v>
      </c>
      <c r="O56" s="20">
        <v>3162258.8218600005</v>
      </c>
      <c r="P56" s="20">
        <v>3419002.0000000009</v>
      </c>
      <c r="Q56" s="20">
        <v>3629478</v>
      </c>
      <c r="R56" s="20">
        <v>3922994.1310999999</v>
      </c>
      <c r="S56" s="20">
        <v>4186569.98</v>
      </c>
      <c r="T56" s="20">
        <v>4317843.2</v>
      </c>
      <c r="U56" s="20">
        <v>4264250.5616530003</v>
      </c>
      <c r="V56" s="20">
        <v>3749544.6934000002</v>
      </c>
      <c r="W56" s="20">
        <f>1604360.278077+2140845.04929</f>
        <v>3745205.3273670003</v>
      </c>
      <c r="X56" s="20">
        <v>3525615.9213800002</v>
      </c>
      <c r="Y56" s="20">
        <v>3600789.9</v>
      </c>
      <c r="Z56" s="20">
        <v>3680393.6896363902</v>
      </c>
      <c r="AA56" s="20">
        <v>2956629.2812330201</v>
      </c>
      <c r="AB56" s="20">
        <v>3362419.7042</v>
      </c>
      <c r="AC56" s="20">
        <v>3605999.3489999999</v>
      </c>
      <c r="AD56" s="20">
        <v>3876964.4331</v>
      </c>
      <c r="AE56" s="20">
        <v>4048260.7717097201</v>
      </c>
      <c r="AF56" s="20">
        <v>4174512.4436336802</v>
      </c>
      <c r="AG56" s="20">
        <v>4039029.6701444401</v>
      </c>
      <c r="AH56" s="20">
        <v>3698400.7</v>
      </c>
      <c r="AI56" s="20">
        <v>3438670.0734513998</v>
      </c>
      <c r="AJ56" s="20">
        <v>2933655.76004032</v>
      </c>
    </row>
    <row r="57" spans="1:36"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J57" s="82"/>
    </row>
    <row r="58" spans="1:36">
      <c r="A58" s="30"/>
      <c r="B58" s="30"/>
      <c r="S58" s="28"/>
      <c r="T58" s="28"/>
      <c r="U58" s="28"/>
      <c r="V58" s="28"/>
      <c r="W58" s="28"/>
      <c r="X58" s="28"/>
      <c r="Y58" s="28"/>
      <c r="Z58" s="249"/>
      <c r="AA58" s="249"/>
      <c r="AB58" s="249"/>
      <c r="AC58" s="249"/>
      <c r="AD58" s="249"/>
      <c r="AE58" s="249"/>
      <c r="AJ58" s="249"/>
    </row>
    <row r="59" spans="1:36">
      <c r="C59" s="61"/>
      <c r="D59" s="61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J59" s="28"/>
    </row>
    <row r="60" spans="1:36">
      <c r="C60" s="63"/>
      <c r="D60" s="6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J60" s="28"/>
    </row>
    <row r="61" spans="1:36">
      <c r="C61" s="61"/>
      <c r="D61" s="62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J61" s="28"/>
    </row>
    <row r="62" spans="1:36">
      <c r="C62" s="61"/>
      <c r="D62" s="61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145"/>
      <c r="T62" s="28"/>
      <c r="U62" s="28"/>
      <c r="V62" s="28"/>
      <c r="W62" s="28"/>
      <c r="X62" s="28"/>
      <c r="Y62" s="28"/>
      <c r="Z62" s="28"/>
    </row>
    <row r="63" spans="1:36">
      <c r="C63" s="61"/>
      <c r="D63" s="61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145"/>
      <c r="T63" s="28"/>
      <c r="U63" s="28"/>
      <c r="V63" s="28"/>
      <c r="W63" s="28"/>
      <c r="X63" s="28"/>
      <c r="Y63" s="28"/>
      <c r="Z63" s="28"/>
    </row>
    <row r="64" spans="1:36">
      <c r="C64" s="61"/>
      <c r="D64" s="61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145"/>
      <c r="T64" s="28"/>
      <c r="U64" s="28"/>
      <c r="V64" s="28"/>
      <c r="W64" s="28"/>
      <c r="X64" s="28"/>
      <c r="Y64" s="28"/>
      <c r="Z64" s="28"/>
    </row>
    <row r="65" spans="3:26">
      <c r="C65" s="61"/>
      <c r="D65" s="61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</row>
    <row r="66" spans="3:26">
      <c r="C66" s="61"/>
      <c r="D66" s="61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S66" s="27"/>
      <c r="T66" s="27"/>
      <c r="U66" s="27"/>
      <c r="V66" s="27"/>
      <c r="W66" s="27"/>
      <c r="X66" s="27"/>
      <c r="Y66" s="27"/>
      <c r="Z66" s="27"/>
    </row>
    <row r="67" spans="3:26">
      <c r="C67" s="61"/>
      <c r="D67" s="61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27"/>
      <c r="T67" s="27"/>
      <c r="U67" s="27"/>
      <c r="V67" s="27"/>
      <c r="W67" s="27"/>
      <c r="X67" s="27"/>
      <c r="Y67" s="27"/>
      <c r="Z67" s="27"/>
    </row>
    <row r="68" spans="3:26">
      <c r="C68" s="61"/>
      <c r="D68" s="61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27"/>
      <c r="T68" s="27"/>
      <c r="U68" s="27"/>
      <c r="V68" s="27"/>
      <c r="W68" s="27"/>
      <c r="X68" s="27"/>
      <c r="Y68" s="27"/>
      <c r="Z68" s="27"/>
    </row>
    <row r="69" spans="3:26">
      <c r="C69" s="61"/>
      <c r="D69" s="61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27"/>
      <c r="T69" s="27"/>
      <c r="U69" s="27"/>
      <c r="V69" s="27"/>
      <c r="W69" s="27"/>
      <c r="X69" s="27"/>
      <c r="Y69" s="27"/>
      <c r="Z69" s="27"/>
    </row>
    <row r="70" spans="3:26">
      <c r="C70" s="61"/>
      <c r="D70" s="61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61"/>
      <c r="S70" s="27"/>
      <c r="T70" s="27"/>
      <c r="U70" s="27"/>
      <c r="V70" s="27"/>
      <c r="W70" s="27"/>
      <c r="X70" s="27"/>
      <c r="Y70" s="27"/>
      <c r="Z70" s="27"/>
    </row>
    <row r="71" spans="3:26">
      <c r="C71" s="63"/>
      <c r="D71" s="6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61"/>
      <c r="S71" s="27"/>
      <c r="T71" s="27"/>
      <c r="U71" s="27"/>
      <c r="V71" s="27"/>
      <c r="W71" s="27"/>
      <c r="X71" s="27"/>
      <c r="Y71" s="27"/>
      <c r="Z71" s="27"/>
    </row>
    <row r="72" spans="3:26">
      <c r="C72" s="61"/>
      <c r="D72" s="62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61"/>
      <c r="S72" s="27"/>
      <c r="T72" s="27"/>
      <c r="U72" s="27"/>
      <c r="V72" s="27"/>
      <c r="W72" s="27"/>
      <c r="X72" s="27"/>
      <c r="Y72" s="27"/>
      <c r="Z72" s="27"/>
    </row>
    <row r="73" spans="3:26">
      <c r="C73" s="61"/>
      <c r="D73" s="61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61"/>
      <c r="S73" s="28"/>
      <c r="T73" s="28"/>
      <c r="U73" s="28"/>
      <c r="V73" s="28"/>
      <c r="W73" s="28"/>
      <c r="X73" s="28"/>
      <c r="Y73" s="28"/>
      <c r="Z73" s="28"/>
    </row>
    <row r="74" spans="3:26">
      <c r="C74" s="61"/>
      <c r="D74" s="61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63"/>
      <c r="S74" s="28"/>
      <c r="T74" s="28"/>
      <c r="U74" s="28"/>
      <c r="V74" s="28"/>
      <c r="W74" s="28"/>
      <c r="X74" s="28"/>
      <c r="Y74" s="28"/>
      <c r="Z74" s="28"/>
    </row>
    <row r="75" spans="3:26">
      <c r="C75" s="63"/>
      <c r="D75" s="6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</row>
    <row r="76" spans="3:26">
      <c r="C76" s="64"/>
      <c r="D76" s="61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28"/>
      <c r="T76" s="28"/>
      <c r="U76" s="28"/>
      <c r="V76" s="28"/>
      <c r="W76" s="28"/>
      <c r="X76" s="28"/>
      <c r="Y76" s="28"/>
      <c r="Z76" s="28"/>
    </row>
    <row r="77" spans="3:26">
      <c r="C77" s="63"/>
      <c r="D77" s="6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28"/>
      <c r="T77" s="28"/>
      <c r="U77" s="28"/>
      <c r="V77" s="28"/>
      <c r="W77" s="28"/>
      <c r="X77" s="28"/>
      <c r="Y77" s="28"/>
      <c r="Z77" s="28"/>
    </row>
    <row r="78" spans="3:26">
      <c r="C78" s="61"/>
      <c r="D78" s="62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28"/>
      <c r="T78" s="28"/>
      <c r="U78" s="28"/>
      <c r="V78" s="28"/>
      <c r="W78" s="28"/>
      <c r="X78" s="28"/>
      <c r="Y78" s="28"/>
      <c r="Z78" s="28"/>
    </row>
    <row r="79" spans="3:26">
      <c r="C79" s="65"/>
      <c r="D79" s="6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28"/>
      <c r="T79" s="28"/>
      <c r="U79" s="28"/>
      <c r="V79" s="28"/>
      <c r="W79" s="28"/>
      <c r="X79" s="28"/>
      <c r="Y79" s="28"/>
      <c r="Z79" s="28"/>
    </row>
    <row r="80" spans="3:26">
      <c r="C80" s="64"/>
      <c r="D80" s="61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28"/>
      <c r="T80" s="28"/>
      <c r="U80" s="28"/>
      <c r="V80" s="28"/>
      <c r="W80" s="28"/>
      <c r="X80" s="28"/>
      <c r="Y80" s="28"/>
      <c r="Z80" s="28"/>
    </row>
    <row r="81" spans="3:26">
      <c r="C81" s="61"/>
      <c r="D81" s="61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28"/>
      <c r="T81" s="28"/>
      <c r="U81" s="28"/>
      <c r="V81" s="28"/>
      <c r="W81" s="28"/>
      <c r="X81" s="28"/>
      <c r="Y81" s="28"/>
      <c r="Z81" s="28"/>
    </row>
    <row r="82" spans="3:26">
      <c r="C82" s="66"/>
      <c r="D82" s="6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28"/>
      <c r="T82" s="28"/>
      <c r="U82" s="28"/>
      <c r="V82" s="28"/>
      <c r="W82" s="28"/>
      <c r="X82" s="28"/>
      <c r="Y82" s="28"/>
      <c r="Z82" s="28"/>
    </row>
    <row r="83" spans="3:26">
      <c r="C83" s="67"/>
      <c r="D83" s="61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28"/>
      <c r="T83" s="28"/>
      <c r="U83" s="28"/>
      <c r="V83" s="28"/>
      <c r="W83" s="28"/>
      <c r="X83" s="28"/>
      <c r="Y83" s="28"/>
      <c r="Z83" s="28"/>
    </row>
    <row r="84" spans="3:26">
      <c r="C84" s="67"/>
      <c r="D84" s="61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28"/>
      <c r="T84" s="28"/>
      <c r="U84" s="28"/>
      <c r="V84" s="28"/>
      <c r="W84" s="28"/>
      <c r="X84" s="28"/>
      <c r="Y84" s="28"/>
      <c r="Z84" s="28"/>
    </row>
    <row r="85" spans="3:26">
      <c r="C85" s="66"/>
      <c r="D85" s="6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68"/>
      <c r="T85" s="68"/>
      <c r="U85" s="68"/>
      <c r="V85" s="68"/>
      <c r="W85" s="68"/>
      <c r="X85" s="68"/>
      <c r="Y85" s="68"/>
      <c r="Z85" s="68"/>
    </row>
    <row r="86" spans="3:26"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68"/>
      <c r="T86" s="68"/>
      <c r="U86" s="68"/>
      <c r="V86" s="68"/>
      <c r="W86" s="68"/>
      <c r="X86" s="68"/>
      <c r="Y86" s="68"/>
      <c r="Z86" s="68"/>
    </row>
    <row r="87" spans="3:26">
      <c r="S87" s="27"/>
      <c r="T87" s="27"/>
      <c r="U87" s="27"/>
      <c r="V87" s="27"/>
      <c r="W87" s="27"/>
      <c r="X87" s="27"/>
      <c r="Y87" s="27"/>
      <c r="Z87" s="27"/>
    </row>
    <row r="88" spans="3:26">
      <c r="S88" s="27"/>
      <c r="T88" s="27"/>
      <c r="U88" s="27"/>
      <c r="V88" s="27"/>
      <c r="W88" s="27"/>
      <c r="X88" s="27"/>
      <c r="Y88" s="27"/>
      <c r="Z88" s="27"/>
    </row>
    <row r="89" spans="3:26">
      <c r="S89" s="27"/>
      <c r="T89" s="27"/>
      <c r="U89" s="27"/>
      <c r="V89" s="27"/>
      <c r="W89" s="27"/>
      <c r="X89" s="27"/>
      <c r="Y89" s="27"/>
      <c r="Z89" s="27"/>
    </row>
    <row r="90" spans="3:26">
      <c r="S90" s="28"/>
      <c r="T90" s="28"/>
      <c r="U90" s="28"/>
      <c r="V90" s="28"/>
      <c r="W90" s="28"/>
      <c r="X90" s="28"/>
      <c r="Y90" s="28"/>
      <c r="Z90" s="28"/>
    </row>
  </sheetData>
  <pageMargins left="0.31496062992125984" right="0.31496062992125984" top="0.74803149606299213" bottom="0.74803149606299213" header="0.31496062992125984" footer="0.31496062992125984"/>
  <pageSetup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61"/>
  <sheetViews>
    <sheetView zoomScale="90" zoomScaleNormal="90" workbookViewId="0">
      <pane xSplit="2" ySplit="3" topLeftCell="Q47" activePane="bottomRight" state="frozenSplit"/>
      <selection pane="topRight" activeCell="C1" sqref="C1"/>
      <selection pane="bottomLeft" activeCell="A2" sqref="A2"/>
      <selection pane="bottomRight" activeCell="U50" sqref="U50"/>
    </sheetView>
  </sheetViews>
  <sheetFormatPr defaultColWidth="8.75" defaultRowHeight="12" outlineLevelCol="1"/>
  <cols>
    <col min="1" max="1" width="24" style="172" customWidth="1"/>
    <col min="2" max="2" width="30.9140625" style="172" customWidth="1"/>
    <col min="3" max="3" width="14.75" style="172" hidden="1" customWidth="1" outlineLevel="1"/>
    <col min="4" max="6" width="11.08203125" style="172" hidden="1" customWidth="1" outlineLevel="1"/>
    <col min="7" max="7" width="11.08203125" style="172" customWidth="1" collapsed="1"/>
    <col min="8" max="11" width="9.9140625" style="172" customWidth="1"/>
    <col min="12" max="16" width="9.9140625" style="172" customWidth="1" collapsed="1"/>
    <col min="17" max="21" width="11.08203125" style="172" customWidth="1" collapsed="1"/>
    <col min="22" max="26" width="8.75" style="226"/>
    <col min="27" max="251" width="8.75" style="172"/>
    <col min="252" max="252" width="38.6640625" style="172" customWidth="1"/>
    <col min="253" max="253" width="41.08203125" style="172" customWidth="1"/>
    <col min="254" max="254" width="14.75" style="172" customWidth="1"/>
    <col min="255" max="262" width="11.08203125" style="172" customWidth="1"/>
    <col min="263" max="263" width="8.75" style="172" customWidth="1"/>
    <col min="264" max="507" width="8.75" style="172"/>
    <col min="508" max="508" width="38.6640625" style="172" customWidth="1"/>
    <col min="509" max="509" width="41.08203125" style="172" customWidth="1"/>
    <col min="510" max="510" width="14.75" style="172" customWidth="1"/>
    <col min="511" max="518" width="11.08203125" style="172" customWidth="1"/>
    <col min="519" max="519" width="8.75" style="172" customWidth="1"/>
    <col min="520" max="763" width="8.75" style="172"/>
    <col min="764" max="764" width="38.6640625" style="172" customWidth="1"/>
    <col min="765" max="765" width="41.08203125" style="172" customWidth="1"/>
    <col min="766" max="766" width="14.75" style="172" customWidth="1"/>
    <col min="767" max="774" width="11.08203125" style="172" customWidth="1"/>
    <col min="775" max="775" width="8.75" style="172" customWidth="1"/>
    <col min="776" max="1019" width="8.75" style="172"/>
    <col min="1020" max="1020" width="38.6640625" style="172" customWidth="1"/>
    <col min="1021" max="1021" width="41.08203125" style="172" customWidth="1"/>
    <col min="1022" max="1022" width="14.75" style="172" customWidth="1"/>
    <col min="1023" max="1030" width="11.08203125" style="172" customWidth="1"/>
    <col min="1031" max="1031" width="8.75" style="172" customWidth="1"/>
    <col min="1032" max="1275" width="8.75" style="172"/>
    <col min="1276" max="1276" width="38.6640625" style="172" customWidth="1"/>
    <col min="1277" max="1277" width="41.08203125" style="172" customWidth="1"/>
    <col min="1278" max="1278" width="14.75" style="172" customWidth="1"/>
    <col min="1279" max="1286" width="11.08203125" style="172" customWidth="1"/>
    <col min="1287" max="1287" width="8.75" style="172" customWidth="1"/>
    <col min="1288" max="1531" width="8.75" style="172"/>
    <col min="1532" max="1532" width="38.6640625" style="172" customWidth="1"/>
    <col min="1533" max="1533" width="41.08203125" style="172" customWidth="1"/>
    <col min="1534" max="1534" width="14.75" style="172" customWidth="1"/>
    <col min="1535" max="1542" width="11.08203125" style="172" customWidth="1"/>
    <col min="1543" max="1543" width="8.75" style="172" customWidth="1"/>
    <col min="1544" max="1787" width="8.75" style="172"/>
    <col min="1788" max="1788" width="38.6640625" style="172" customWidth="1"/>
    <col min="1789" max="1789" width="41.08203125" style="172" customWidth="1"/>
    <col min="1790" max="1790" width="14.75" style="172" customWidth="1"/>
    <col min="1791" max="1798" width="11.08203125" style="172" customWidth="1"/>
    <col min="1799" max="1799" width="8.75" style="172" customWidth="1"/>
    <col min="1800" max="2043" width="8.75" style="172"/>
    <col min="2044" max="2044" width="38.6640625" style="172" customWidth="1"/>
    <col min="2045" max="2045" width="41.08203125" style="172" customWidth="1"/>
    <col min="2046" max="2046" width="14.75" style="172" customWidth="1"/>
    <col min="2047" max="2054" width="11.08203125" style="172" customWidth="1"/>
    <col min="2055" max="2055" width="8.75" style="172" customWidth="1"/>
    <col min="2056" max="2299" width="8.75" style="172"/>
    <col min="2300" max="2300" width="38.6640625" style="172" customWidth="1"/>
    <col min="2301" max="2301" width="41.08203125" style="172" customWidth="1"/>
    <col min="2302" max="2302" width="14.75" style="172" customWidth="1"/>
    <col min="2303" max="2310" width="11.08203125" style="172" customWidth="1"/>
    <col min="2311" max="2311" width="8.75" style="172" customWidth="1"/>
    <col min="2312" max="2555" width="8.75" style="172"/>
    <col min="2556" max="2556" width="38.6640625" style="172" customWidth="1"/>
    <col min="2557" max="2557" width="41.08203125" style="172" customWidth="1"/>
    <col min="2558" max="2558" width="14.75" style="172" customWidth="1"/>
    <col min="2559" max="2566" width="11.08203125" style="172" customWidth="1"/>
    <col min="2567" max="2567" width="8.75" style="172" customWidth="1"/>
    <col min="2568" max="2811" width="8.75" style="172"/>
    <col min="2812" max="2812" width="38.6640625" style="172" customWidth="1"/>
    <col min="2813" max="2813" width="41.08203125" style="172" customWidth="1"/>
    <col min="2814" max="2814" width="14.75" style="172" customWidth="1"/>
    <col min="2815" max="2822" width="11.08203125" style="172" customWidth="1"/>
    <col min="2823" max="2823" width="8.75" style="172" customWidth="1"/>
    <col min="2824" max="3067" width="8.75" style="172"/>
    <col min="3068" max="3068" width="38.6640625" style="172" customWidth="1"/>
    <col min="3069" max="3069" width="41.08203125" style="172" customWidth="1"/>
    <col min="3070" max="3070" width="14.75" style="172" customWidth="1"/>
    <col min="3071" max="3078" width="11.08203125" style="172" customWidth="1"/>
    <col min="3079" max="3079" width="8.75" style="172" customWidth="1"/>
    <col min="3080" max="3323" width="8.75" style="172"/>
    <col min="3324" max="3324" width="38.6640625" style="172" customWidth="1"/>
    <col min="3325" max="3325" width="41.08203125" style="172" customWidth="1"/>
    <col min="3326" max="3326" width="14.75" style="172" customWidth="1"/>
    <col min="3327" max="3334" width="11.08203125" style="172" customWidth="1"/>
    <col min="3335" max="3335" width="8.75" style="172" customWidth="1"/>
    <col min="3336" max="3579" width="8.75" style="172"/>
    <col min="3580" max="3580" width="38.6640625" style="172" customWidth="1"/>
    <col min="3581" max="3581" width="41.08203125" style="172" customWidth="1"/>
    <col min="3582" max="3582" width="14.75" style="172" customWidth="1"/>
    <col min="3583" max="3590" width="11.08203125" style="172" customWidth="1"/>
    <col min="3591" max="3591" width="8.75" style="172" customWidth="1"/>
    <col min="3592" max="3835" width="8.75" style="172"/>
    <col min="3836" max="3836" width="38.6640625" style="172" customWidth="1"/>
    <col min="3837" max="3837" width="41.08203125" style="172" customWidth="1"/>
    <col min="3838" max="3838" width="14.75" style="172" customWidth="1"/>
    <col min="3839" max="3846" width="11.08203125" style="172" customWidth="1"/>
    <col min="3847" max="3847" width="8.75" style="172" customWidth="1"/>
    <col min="3848" max="4091" width="8.75" style="172"/>
    <col min="4092" max="4092" width="38.6640625" style="172" customWidth="1"/>
    <col min="4093" max="4093" width="41.08203125" style="172" customWidth="1"/>
    <col min="4094" max="4094" width="14.75" style="172" customWidth="1"/>
    <col min="4095" max="4102" width="11.08203125" style="172" customWidth="1"/>
    <col min="4103" max="4103" width="8.75" style="172" customWidth="1"/>
    <col min="4104" max="4347" width="8.75" style="172"/>
    <col min="4348" max="4348" width="38.6640625" style="172" customWidth="1"/>
    <col min="4349" max="4349" width="41.08203125" style="172" customWidth="1"/>
    <col min="4350" max="4350" width="14.75" style="172" customWidth="1"/>
    <col min="4351" max="4358" width="11.08203125" style="172" customWidth="1"/>
    <col min="4359" max="4359" width="8.75" style="172" customWidth="1"/>
    <col min="4360" max="4603" width="8.75" style="172"/>
    <col min="4604" max="4604" width="38.6640625" style="172" customWidth="1"/>
    <col min="4605" max="4605" width="41.08203125" style="172" customWidth="1"/>
    <col min="4606" max="4606" width="14.75" style="172" customWidth="1"/>
    <col min="4607" max="4614" width="11.08203125" style="172" customWidth="1"/>
    <col min="4615" max="4615" width="8.75" style="172" customWidth="1"/>
    <col min="4616" max="4859" width="8.75" style="172"/>
    <col min="4860" max="4860" width="38.6640625" style="172" customWidth="1"/>
    <col min="4861" max="4861" width="41.08203125" style="172" customWidth="1"/>
    <col min="4862" max="4862" width="14.75" style="172" customWidth="1"/>
    <col min="4863" max="4870" width="11.08203125" style="172" customWidth="1"/>
    <col min="4871" max="4871" width="8.75" style="172" customWidth="1"/>
    <col min="4872" max="5115" width="8.75" style="172"/>
    <col min="5116" max="5116" width="38.6640625" style="172" customWidth="1"/>
    <col min="5117" max="5117" width="41.08203125" style="172" customWidth="1"/>
    <col min="5118" max="5118" width="14.75" style="172" customWidth="1"/>
    <col min="5119" max="5126" width="11.08203125" style="172" customWidth="1"/>
    <col min="5127" max="5127" width="8.75" style="172" customWidth="1"/>
    <col min="5128" max="5371" width="8.75" style="172"/>
    <col min="5372" max="5372" width="38.6640625" style="172" customWidth="1"/>
    <col min="5373" max="5373" width="41.08203125" style="172" customWidth="1"/>
    <col min="5374" max="5374" width="14.75" style="172" customWidth="1"/>
    <col min="5375" max="5382" width="11.08203125" style="172" customWidth="1"/>
    <col min="5383" max="5383" width="8.75" style="172" customWidth="1"/>
    <col min="5384" max="5627" width="8.75" style="172"/>
    <col min="5628" max="5628" width="38.6640625" style="172" customWidth="1"/>
    <col min="5629" max="5629" width="41.08203125" style="172" customWidth="1"/>
    <col min="5630" max="5630" width="14.75" style="172" customWidth="1"/>
    <col min="5631" max="5638" width="11.08203125" style="172" customWidth="1"/>
    <col min="5639" max="5639" width="8.75" style="172" customWidth="1"/>
    <col min="5640" max="5883" width="8.75" style="172"/>
    <col min="5884" max="5884" width="38.6640625" style="172" customWidth="1"/>
    <col min="5885" max="5885" width="41.08203125" style="172" customWidth="1"/>
    <col min="5886" max="5886" width="14.75" style="172" customWidth="1"/>
    <col min="5887" max="5894" width="11.08203125" style="172" customWidth="1"/>
    <col min="5895" max="5895" width="8.75" style="172" customWidth="1"/>
    <col min="5896" max="6139" width="8.75" style="172"/>
    <col min="6140" max="6140" width="38.6640625" style="172" customWidth="1"/>
    <col min="6141" max="6141" width="41.08203125" style="172" customWidth="1"/>
    <col min="6142" max="6142" width="14.75" style="172" customWidth="1"/>
    <col min="6143" max="6150" width="11.08203125" style="172" customWidth="1"/>
    <col min="6151" max="6151" width="8.75" style="172" customWidth="1"/>
    <col min="6152" max="6395" width="8.75" style="172"/>
    <col min="6396" max="6396" width="38.6640625" style="172" customWidth="1"/>
    <col min="6397" max="6397" width="41.08203125" style="172" customWidth="1"/>
    <col min="6398" max="6398" width="14.75" style="172" customWidth="1"/>
    <col min="6399" max="6406" width="11.08203125" style="172" customWidth="1"/>
    <col min="6407" max="6407" width="8.75" style="172" customWidth="1"/>
    <col min="6408" max="6651" width="8.75" style="172"/>
    <col min="6652" max="6652" width="38.6640625" style="172" customWidth="1"/>
    <col min="6653" max="6653" width="41.08203125" style="172" customWidth="1"/>
    <col min="6654" max="6654" width="14.75" style="172" customWidth="1"/>
    <col min="6655" max="6662" width="11.08203125" style="172" customWidth="1"/>
    <col min="6663" max="6663" width="8.75" style="172" customWidth="1"/>
    <col min="6664" max="6907" width="8.75" style="172"/>
    <col min="6908" max="6908" width="38.6640625" style="172" customWidth="1"/>
    <col min="6909" max="6909" width="41.08203125" style="172" customWidth="1"/>
    <col min="6910" max="6910" width="14.75" style="172" customWidth="1"/>
    <col min="6911" max="6918" width="11.08203125" style="172" customWidth="1"/>
    <col min="6919" max="6919" width="8.75" style="172" customWidth="1"/>
    <col min="6920" max="7163" width="8.75" style="172"/>
    <col min="7164" max="7164" width="38.6640625" style="172" customWidth="1"/>
    <col min="7165" max="7165" width="41.08203125" style="172" customWidth="1"/>
    <col min="7166" max="7166" width="14.75" style="172" customWidth="1"/>
    <col min="7167" max="7174" width="11.08203125" style="172" customWidth="1"/>
    <col min="7175" max="7175" width="8.75" style="172" customWidth="1"/>
    <col min="7176" max="7419" width="8.75" style="172"/>
    <col min="7420" max="7420" width="38.6640625" style="172" customWidth="1"/>
    <col min="7421" max="7421" width="41.08203125" style="172" customWidth="1"/>
    <col min="7422" max="7422" width="14.75" style="172" customWidth="1"/>
    <col min="7423" max="7430" width="11.08203125" style="172" customWidth="1"/>
    <col min="7431" max="7431" width="8.75" style="172" customWidth="1"/>
    <col min="7432" max="7675" width="8.75" style="172"/>
    <col min="7676" max="7676" width="38.6640625" style="172" customWidth="1"/>
    <col min="7677" max="7677" width="41.08203125" style="172" customWidth="1"/>
    <col min="7678" max="7678" width="14.75" style="172" customWidth="1"/>
    <col min="7679" max="7686" width="11.08203125" style="172" customWidth="1"/>
    <col min="7687" max="7687" width="8.75" style="172" customWidth="1"/>
    <col min="7688" max="7931" width="8.75" style="172"/>
    <col min="7932" max="7932" width="38.6640625" style="172" customWidth="1"/>
    <col min="7933" max="7933" width="41.08203125" style="172" customWidth="1"/>
    <col min="7934" max="7934" width="14.75" style="172" customWidth="1"/>
    <col min="7935" max="7942" width="11.08203125" style="172" customWidth="1"/>
    <col min="7943" max="7943" width="8.75" style="172" customWidth="1"/>
    <col min="7944" max="8187" width="8.75" style="172"/>
    <col min="8188" max="8188" width="38.6640625" style="172" customWidth="1"/>
    <col min="8189" max="8189" width="41.08203125" style="172" customWidth="1"/>
    <col min="8190" max="8190" width="14.75" style="172" customWidth="1"/>
    <col min="8191" max="8198" width="11.08203125" style="172" customWidth="1"/>
    <col min="8199" max="8199" width="8.75" style="172" customWidth="1"/>
    <col min="8200" max="8443" width="8.75" style="172"/>
    <col min="8444" max="8444" width="38.6640625" style="172" customWidth="1"/>
    <col min="8445" max="8445" width="41.08203125" style="172" customWidth="1"/>
    <col min="8446" max="8446" width="14.75" style="172" customWidth="1"/>
    <col min="8447" max="8454" width="11.08203125" style="172" customWidth="1"/>
    <col min="8455" max="8455" width="8.75" style="172" customWidth="1"/>
    <col min="8456" max="8699" width="8.75" style="172"/>
    <col min="8700" max="8700" width="38.6640625" style="172" customWidth="1"/>
    <col min="8701" max="8701" width="41.08203125" style="172" customWidth="1"/>
    <col min="8702" max="8702" width="14.75" style="172" customWidth="1"/>
    <col min="8703" max="8710" width="11.08203125" style="172" customWidth="1"/>
    <col min="8711" max="8711" width="8.75" style="172" customWidth="1"/>
    <col min="8712" max="8955" width="8.75" style="172"/>
    <col min="8956" max="8956" width="38.6640625" style="172" customWidth="1"/>
    <col min="8957" max="8957" width="41.08203125" style="172" customWidth="1"/>
    <col min="8958" max="8958" width="14.75" style="172" customWidth="1"/>
    <col min="8959" max="8966" width="11.08203125" style="172" customWidth="1"/>
    <col min="8967" max="8967" width="8.75" style="172" customWidth="1"/>
    <col min="8968" max="9211" width="8.75" style="172"/>
    <col min="9212" max="9212" width="38.6640625" style="172" customWidth="1"/>
    <col min="9213" max="9213" width="41.08203125" style="172" customWidth="1"/>
    <col min="9214" max="9214" width="14.75" style="172" customWidth="1"/>
    <col min="9215" max="9222" width="11.08203125" style="172" customWidth="1"/>
    <col min="9223" max="9223" width="8.75" style="172" customWidth="1"/>
    <col min="9224" max="9467" width="8.75" style="172"/>
    <col min="9468" max="9468" width="38.6640625" style="172" customWidth="1"/>
    <col min="9469" max="9469" width="41.08203125" style="172" customWidth="1"/>
    <col min="9470" max="9470" width="14.75" style="172" customWidth="1"/>
    <col min="9471" max="9478" width="11.08203125" style="172" customWidth="1"/>
    <col min="9479" max="9479" width="8.75" style="172" customWidth="1"/>
    <col min="9480" max="9723" width="8.75" style="172"/>
    <col min="9724" max="9724" width="38.6640625" style="172" customWidth="1"/>
    <col min="9725" max="9725" width="41.08203125" style="172" customWidth="1"/>
    <col min="9726" max="9726" width="14.75" style="172" customWidth="1"/>
    <col min="9727" max="9734" width="11.08203125" style="172" customWidth="1"/>
    <col min="9735" max="9735" width="8.75" style="172" customWidth="1"/>
    <col min="9736" max="9979" width="8.75" style="172"/>
    <col min="9980" max="9980" width="38.6640625" style="172" customWidth="1"/>
    <col min="9981" max="9981" width="41.08203125" style="172" customWidth="1"/>
    <col min="9982" max="9982" width="14.75" style="172" customWidth="1"/>
    <col min="9983" max="9990" width="11.08203125" style="172" customWidth="1"/>
    <col min="9991" max="9991" width="8.75" style="172" customWidth="1"/>
    <col min="9992" max="10235" width="8.75" style="172"/>
    <col min="10236" max="10236" width="38.6640625" style="172" customWidth="1"/>
    <col min="10237" max="10237" width="41.08203125" style="172" customWidth="1"/>
    <col min="10238" max="10238" width="14.75" style="172" customWidth="1"/>
    <col min="10239" max="10246" width="11.08203125" style="172" customWidth="1"/>
    <col min="10247" max="10247" width="8.75" style="172" customWidth="1"/>
    <col min="10248" max="10491" width="8.75" style="172"/>
    <col min="10492" max="10492" width="38.6640625" style="172" customWidth="1"/>
    <col min="10493" max="10493" width="41.08203125" style="172" customWidth="1"/>
    <col min="10494" max="10494" width="14.75" style="172" customWidth="1"/>
    <col min="10495" max="10502" width="11.08203125" style="172" customWidth="1"/>
    <col min="10503" max="10503" width="8.75" style="172" customWidth="1"/>
    <col min="10504" max="10747" width="8.75" style="172"/>
    <col min="10748" max="10748" width="38.6640625" style="172" customWidth="1"/>
    <col min="10749" max="10749" width="41.08203125" style="172" customWidth="1"/>
    <col min="10750" max="10750" width="14.75" style="172" customWidth="1"/>
    <col min="10751" max="10758" width="11.08203125" style="172" customWidth="1"/>
    <col min="10759" max="10759" width="8.75" style="172" customWidth="1"/>
    <col min="10760" max="11003" width="8.75" style="172"/>
    <col min="11004" max="11004" width="38.6640625" style="172" customWidth="1"/>
    <col min="11005" max="11005" width="41.08203125" style="172" customWidth="1"/>
    <col min="11006" max="11006" width="14.75" style="172" customWidth="1"/>
    <col min="11007" max="11014" width="11.08203125" style="172" customWidth="1"/>
    <col min="11015" max="11015" width="8.75" style="172" customWidth="1"/>
    <col min="11016" max="11259" width="8.75" style="172"/>
    <col min="11260" max="11260" width="38.6640625" style="172" customWidth="1"/>
    <col min="11261" max="11261" width="41.08203125" style="172" customWidth="1"/>
    <col min="11262" max="11262" width="14.75" style="172" customWidth="1"/>
    <col min="11263" max="11270" width="11.08203125" style="172" customWidth="1"/>
    <col min="11271" max="11271" width="8.75" style="172" customWidth="1"/>
    <col min="11272" max="11515" width="8.75" style="172"/>
    <col min="11516" max="11516" width="38.6640625" style="172" customWidth="1"/>
    <col min="11517" max="11517" width="41.08203125" style="172" customWidth="1"/>
    <col min="11518" max="11518" width="14.75" style="172" customWidth="1"/>
    <col min="11519" max="11526" width="11.08203125" style="172" customWidth="1"/>
    <col min="11527" max="11527" width="8.75" style="172" customWidth="1"/>
    <col min="11528" max="11771" width="8.75" style="172"/>
    <col min="11772" max="11772" width="38.6640625" style="172" customWidth="1"/>
    <col min="11773" max="11773" width="41.08203125" style="172" customWidth="1"/>
    <col min="11774" max="11774" width="14.75" style="172" customWidth="1"/>
    <col min="11775" max="11782" width="11.08203125" style="172" customWidth="1"/>
    <col min="11783" max="11783" width="8.75" style="172" customWidth="1"/>
    <col min="11784" max="12027" width="8.75" style="172"/>
    <col min="12028" max="12028" width="38.6640625" style="172" customWidth="1"/>
    <col min="12029" max="12029" width="41.08203125" style="172" customWidth="1"/>
    <col min="12030" max="12030" width="14.75" style="172" customWidth="1"/>
    <col min="12031" max="12038" width="11.08203125" style="172" customWidth="1"/>
    <col min="12039" max="12039" width="8.75" style="172" customWidth="1"/>
    <col min="12040" max="12283" width="8.75" style="172"/>
    <col min="12284" max="12284" width="38.6640625" style="172" customWidth="1"/>
    <col min="12285" max="12285" width="41.08203125" style="172" customWidth="1"/>
    <col min="12286" max="12286" width="14.75" style="172" customWidth="1"/>
    <col min="12287" max="12294" width="11.08203125" style="172" customWidth="1"/>
    <col min="12295" max="12295" width="8.75" style="172" customWidth="1"/>
    <col min="12296" max="12539" width="8.75" style="172"/>
    <col min="12540" max="12540" width="38.6640625" style="172" customWidth="1"/>
    <col min="12541" max="12541" width="41.08203125" style="172" customWidth="1"/>
    <col min="12542" max="12542" width="14.75" style="172" customWidth="1"/>
    <col min="12543" max="12550" width="11.08203125" style="172" customWidth="1"/>
    <col min="12551" max="12551" width="8.75" style="172" customWidth="1"/>
    <col min="12552" max="12795" width="8.75" style="172"/>
    <col min="12796" max="12796" width="38.6640625" style="172" customWidth="1"/>
    <col min="12797" max="12797" width="41.08203125" style="172" customWidth="1"/>
    <col min="12798" max="12798" width="14.75" style="172" customWidth="1"/>
    <col min="12799" max="12806" width="11.08203125" style="172" customWidth="1"/>
    <col min="12807" max="12807" width="8.75" style="172" customWidth="1"/>
    <col min="12808" max="13051" width="8.75" style="172"/>
    <col min="13052" max="13052" width="38.6640625" style="172" customWidth="1"/>
    <col min="13053" max="13053" width="41.08203125" style="172" customWidth="1"/>
    <col min="13054" max="13054" width="14.75" style="172" customWidth="1"/>
    <col min="13055" max="13062" width="11.08203125" style="172" customWidth="1"/>
    <col min="13063" max="13063" width="8.75" style="172" customWidth="1"/>
    <col min="13064" max="13307" width="8.75" style="172"/>
    <col min="13308" max="13308" width="38.6640625" style="172" customWidth="1"/>
    <col min="13309" max="13309" width="41.08203125" style="172" customWidth="1"/>
    <col min="13310" max="13310" width="14.75" style="172" customWidth="1"/>
    <col min="13311" max="13318" width="11.08203125" style="172" customWidth="1"/>
    <col min="13319" max="13319" width="8.75" style="172" customWidth="1"/>
    <col min="13320" max="13563" width="8.75" style="172"/>
    <col min="13564" max="13564" width="38.6640625" style="172" customWidth="1"/>
    <col min="13565" max="13565" width="41.08203125" style="172" customWidth="1"/>
    <col min="13566" max="13566" width="14.75" style="172" customWidth="1"/>
    <col min="13567" max="13574" width="11.08203125" style="172" customWidth="1"/>
    <col min="13575" max="13575" width="8.75" style="172" customWidth="1"/>
    <col min="13576" max="13819" width="8.75" style="172"/>
    <col min="13820" max="13820" width="38.6640625" style="172" customWidth="1"/>
    <col min="13821" max="13821" width="41.08203125" style="172" customWidth="1"/>
    <col min="13822" max="13822" width="14.75" style="172" customWidth="1"/>
    <col min="13823" max="13830" width="11.08203125" style="172" customWidth="1"/>
    <col min="13831" max="13831" width="8.75" style="172" customWidth="1"/>
    <col min="13832" max="14075" width="8.75" style="172"/>
    <col min="14076" max="14076" width="38.6640625" style="172" customWidth="1"/>
    <col min="14077" max="14077" width="41.08203125" style="172" customWidth="1"/>
    <col min="14078" max="14078" width="14.75" style="172" customWidth="1"/>
    <col min="14079" max="14086" width="11.08203125" style="172" customWidth="1"/>
    <col min="14087" max="14087" width="8.75" style="172" customWidth="1"/>
    <col min="14088" max="14331" width="8.75" style="172"/>
    <col min="14332" max="14332" width="38.6640625" style="172" customWidth="1"/>
    <col min="14333" max="14333" width="41.08203125" style="172" customWidth="1"/>
    <col min="14334" max="14334" width="14.75" style="172" customWidth="1"/>
    <col min="14335" max="14342" width="11.08203125" style="172" customWidth="1"/>
    <col min="14343" max="14343" width="8.75" style="172" customWidth="1"/>
    <col min="14344" max="14587" width="8.75" style="172"/>
    <col min="14588" max="14588" width="38.6640625" style="172" customWidth="1"/>
    <col min="14589" max="14589" width="41.08203125" style="172" customWidth="1"/>
    <col min="14590" max="14590" width="14.75" style="172" customWidth="1"/>
    <col min="14591" max="14598" width="11.08203125" style="172" customWidth="1"/>
    <col min="14599" max="14599" width="8.75" style="172" customWidth="1"/>
    <col min="14600" max="14843" width="8.75" style="172"/>
    <col min="14844" max="14844" width="38.6640625" style="172" customWidth="1"/>
    <col min="14845" max="14845" width="41.08203125" style="172" customWidth="1"/>
    <col min="14846" max="14846" width="14.75" style="172" customWidth="1"/>
    <col min="14847" max="14854" width="11.08203125" style="172" customWidth="1"/>
    <col min="14855" max="14855" width="8.75" style="172" customWidth="1"/>
    <col min="14856" max="15099" width="8.75" style="172"/>
    <col min="15100" max="15100" width="38.6640625" style="172" customWidth="1"/>
    <col min="15101" max="15101" width="41.08203125" style="172" customWidth="1"/>
    <col min="15102" max="15102" width="14.75" style="172" customWidth="1"/>
    <col min="15103" max="15110" width="11.08203125" style="172" customWidth="1"/>
    <col min="15111" max="15111" width="8.75" style="172" customWidth="1"/>
    <col min="15112" max="15355" width="8.75" style="172"/>
    <col min="15356" max="15356" width="38.6640625" style="172" customWidth="1"/>
    <col min="15357" max="15357" width="41.08203125" style="172" customWidth="1"/>
    <col min="15358" max="15358" width="14.75" style="172" customWidth="1"/>
    <col min="15359" max="15366" width="11.08203125" style="172" customWidth="1"/>
    <col min="15367" max="15367" width="8.75" style="172" customWidth="1"/>
    <col min="15368" max="15611" width="8.75" style="172"/>
    <col min="15612" max="15612" width="38.6640625" style="172" customWidth="1"/>
    <col min="15613" max="15613" width="41.08203125" style="172" customWidth="1"/>
    <col min="15614" max="15614" width="14.75" style="172" customWidth="1"/>
    <col min="15615" max="15622" width="11.08203125" style="172" customWidth="1"/>
    <col min="15623" max="15623" width="8.75" style="172" customWidth="1"/>
    <col min="15624" max="15867" width="8.75" style="172"/>
    <col min="15868" max="15868" width="38.6640625" style="172" customWidth="1"/>
    <col min="15869" max="15869" width="41.08203125" style="172" customWidth="1"/>
    <col min="15870" max="15870" width="14.75" style="172" customWidth="1"/>
    <col min="15871" max="15878" width="11.08203125" style="172" customWidth="1"/>
    <col min="15879" max="15879" width="8.75" style="172" customWidth="1"/>
    <col min="15880" max="16123" width="8.75" style="172"/>
    <col min="16124" max="16124" width="38.6640625" style="172" customWidth="1"/>
    <col min="16125" max="16125" width="41.08203125" style="172" customWidth="1"/>
    <col min="16126" max="16126" width="14.75" style="172" customWidth="1"/>
    <col min="16127" max="16134" width="11.08203125" style="172" customWidth="1"/>
    <col min="16135" max="16135" width="8.75" style="172" customWidth="1"/>
    <col min="16136" max="16384" width="8.75" style="172"/>
  </cols>
  <sheetData>
    <row r="1" spans="1:21" s="172" customFormat="1">
      <c r="A1" s="212" t="s">
        <v>544</v>
      </c>
    </row>
    <row r="2" spans="1:21" s="172" customFormat="1">
      <c r="A2" s="212" t="s">
        <v>545</v>
      </c>
    </row>
    <row r="3" spans="1:21" s="172" customFormat="1">
      <c r="A3" s="213" t="s">
        <v>497</v>
      </c>
      <c r="B3" s="213" t="s">
        <v>436</v>
      </c>
      <c r="C3" s="214" t="s">
        <v>284</v>
      </c>
      <c r="D3" s="214" t="s">
        <v>314</v>
      </c>
      <c r="E3" s="214" t="s">
        <v>365</v>
      </c>
      <c r="F3" s="214" t="s">
        <v>406</v>
      </c>
      <c r="G3" s="214" t="s">
        <v>409</v>
      </c>
      <c r="H3" s="214" t="s">
        <v>413</v>
      </c>
      <c r="I3" s="214" t="s">
        <v>424</v>
      </c>
      <c r="J3" s="214" t="s">
        <v>429</v>
      </c>
      <c r="K3" s="276" t="s">
        <v>435</v>
      </c>
      <c r="L3" s="276" t="s">
        <v>511</v>
      </c>
      <c r="M3" s="276" t="s">
        <v>589</v>
      </c>
      <c r="N3" s="276" t="s">
        <v>595</v>
      </c>
      <c r="O3" s="276" t="s">
        <v>603</v>
      </c>
      <c r="P3" s="276" t="s">
        <v>613</v>
      </c>
      <c r="Q3" s="276" t="s">
        <v>627</v>
      </c>
      <c r="R3" s="276" t="s">
        <v>631</v>
      </c>
      <c r="S3" s="276" t="s">
        <v>638</v>
      </c>
      <c r="T3" s="276" t="s">
        <v>644</v>
      </c>
      <c r="U3" s="276" t="s">
        <v>647</v>
      </c>
    </row>
    <row r="4" spans="1:21" s="172" customFormat="1" ht="24.5" thickBot="1">
      <c r="A4" s="215" t="s">
        <v>546</v>
      </c>
      <c r="B4" s="215" t="s">
        <v>547</v>
      </c>
      <c r="C4" s="232">
        <v>48908306</v>
      </c>
      <c r="D4" s="232">
        <v>48658366</v>
      </c>
      <c r="E4" s="232">
        <v>50907282</v>
      </c>
      <c r="F4" s="232">
        <v>51503396</v>
      </c>
      <c r="G4" s="232">
        <v>53220022</v>
      </c>
      <c r="H4" s="232">
        <v>54429453</v>
      </c>
      <c r="I4" s="232">
        <v>68311413</v>
      </c>
      <c r="J4" s="232">
        <v>69930817</v>
      </c>
      <c r="K4" s="232">
        <f>+K5+K6</f>
        <v>70005090</v>
      </c>
      <c r="L4" s="232">
        <f t="shared" ref="L4:U4" si="0">+L5+L6</f>
        <v>72572252</v>
      </c>
      <c r="M4" s="232">
        <f t="shared" si="0"/>
        <v>72106820</v>
      </c>
      <c r="N4" s="232">
        <f t="shared" si="0"/>
        <v>73144792</v>
      </c>
      <c r="O4" s="232">
        <f t="shared" si="0"/>
        <v>74396224</v>
      </c>
      <c r="P4" s="232">
        <f t="shared" si="0"/>
        <v>75316516</v>
      </c>
      <c r="Q4" s="232">
        <f t="shared" si="0"/>
        <v>76451755</v>
      </c>
      <c r="R4" s="232">
        <f t="shared" si="0"/>
        <v>79218973</v>
      </c>
      <c r="S4" s="232">
        <f t="shared" si="0"/>
        <v>80614580</v>
      </c>
      <c r="T4" s="232">
        <f t="shared" si="0"/>
        <v>80825614</v>
      </c>
      <c r="U4" s="232">
        <f t="shared" si="0"/>
        <v>81484872</v>
      </c>
    </row>
    <row r="5" spans="1:21" s="172" customFormat="1" ht="12.5" thickBot="1">
      <c r="A5" s="216" t="s">
        <v>548</v>
      </c>
      <c r="B5" s="216" t="s">
        <v>549</v>
      </c>
      <c r="C5" s="233">
        <v>2232666</v>
      </c>
      <c r="D5" s="233">
        <v>2364089</v>
      </c>
      <c r="E5" s="233">
        <v>2408724</v>
      </c>
      <c r="F5" s="233">
        <v>2411735</v>
      </c>
      <c r="G5" s="233">
        <v>2403894</v>
      </c>
      <c r="H5" s="233">
        <v>2411452</v>
      </c>
      <c r="I5" s="233">
        <v>2938832</v>
      </c>
      <c r="J5" s="233">
        <v>3076635</v>
      </c>
      <c r="K5" s="233">
        <v>3199909</v>
      </c>
      <c r="L5" s="233">
        <v>3435785</v>
      </c>
      <c r="M5" s="233">
        <v>3481669</v>
      </c>
      <c r="N5" s="233">
        <v>3456672</v>
      </c>
      <c r="O5" s="233">
        <v>3683798</v>
      </c>
      <c r="P5" s="304">
        <v>3643698</v>
      </c>
      <c r="Q5" s="233">
        <v>3574582</v>
      </c>
      <c r="R5" s="233">
        <v>3635181</v>
      </c>
      <c r="S5" s="233">
        <v>3485056</v>
      </c>
      <c r="T5" s="233">
        <v>3540314</v>
      </c>
      <c r="U5" s="233">
        <v>3447885</v>
      </c>
    </row>
    <row r="6" spans="1:21" s="172" customFormat="1" ht="12.5" thickBot="1">
      <c r="A6" s="216" t="s">
        <v>550</v>
      </c>
      <c r="B6" s="216" t="s">
        <v>551</v>
      </c>
      <c r="C6" s="233">
        <v>46675640</v>
      </c>
      <c r="D6" s="233">
        <v>46294277</v>
      </c>
      <c r="E6" s="233">
        <v>48498558</v>
      </c>
      <c r="F6" s="233">
        <v>49091661</v>
      </c>
      <c r="G6" s="233">
        <v>50816128</v>
      </c>
      <c r="H6" s="233">
        <v>52018001</v>
      </c>
      <c r="I6" s="233">
        <v>65372581</v>
      </c>
      <c r="J6" s="233">
        <v>66854182</v>
      </c>
      <c r="K6" s="233">
        <v>66805181</v>
      </c>
      <c r="L6" s="233">
        <v>69136467</v>
      </c>
      <c r="M6" s="233">
        <v>68625151</v>
      </c>
      <c r="N6" s="233">
        <v>69688120</v>
      </c>
      <c r="O6" s="233">
        <v>70712426</v>
      </c>
      <c r="P6" s="304">
        <v>71672818</v>
      </c>
      <c r="Q6" s="233">
        <v>72877173</v>
      </c>
      <c r="R6" s="233">
        <v>75583792</v>
      </c>
      <c r="S6" s="233">
        <v>77129524</v>
      </c>
      <c r="T6" s="233">
        <v>77285300</v>
      </c>
      <c r="U6" s="233">
        <v>78036987</v>
      </c>
    </row>
    <row r="7" spans="1:21" s="172" customFormat="1" ht="12.5" thickBot="1">
      <c r="A7" s="217" t="s">
        <v>552</v>
      </c>
      <c r="B7" s="217" t="s">
        <v>553</v>
      </c>
      <c r="C7" s="234">
        <v>-1497228</v>
      </c>
      <c r="D7" s="234">
        <v>-1763613</v>
      </c>
      <c r="E7" s="234">
        <v>-1805316</v>
      </c>
      <c r="F7" s="234">
        <v>-1780837</v>
      </c>
      <c r="G7" s="234">
        <v>-1758867</v>
      </c>
      <c r="H7" s="234">
        <v>-1730588</v>
      </c>
      <c r="I7" s="234">
        <v>-1797628</v>
      </c>
      <c r="J7" s="234">
        <v>-1885371</v>
      </c>
      <c r="K7" s="234">
        <f>+K8+K9</f>
        <v>-1961618</v>
      </c>
      <c r="L7" s="234">
        <f t="shared" ref="L7:U7" si="1">+L8+L9</f>
        <v>-2075906</v>
      </c>
      <c r="M7" s="234">
        <f t="shared" si="1"/>
        <v>-2248209</v>
      </c>
      <c r="N7" s="234">
        <f t="shared" si="1"/>
        <v>-2310073</v>
      </c>
      <c r="O7" s="234">
        <f t="shared" si="1"/>
        <v>-2372635</v>
      </c>
      <c r="P7" s="234">
        <f t="shared" si="1"/>
        <v>-2313249</v>
      </c>
      <c r="Q7" s="234">
        <f t="shared" si="1"/>
        <v>-2329123</v>
      </c>
      <c r="R7" s="234">
        <f t="shared" si="1"/>
        <v>-2437074</v>
      </c>
      <c r="S7" s="234">
        <f t="shared" si="1"/>
        <v>-2374246</v>
      </c>
      <c r="T7" s="234">
        <f t="shared" si="1"/>
        <v>-2419730</v>
      </c>
      <c r="U7" s="234">
        <f t="shared" si="1"/>
        <v>-2332828</v>
      </c>
    </row>
    <row r="8" spans="1:21" s="172" customFormat="1" ht="12.5" thickBot="1">
      <c r="A8" s="216" t="s">
        <v>554</v>
      </c>
      <c r="B8" s="216" t="s">
        <v>555</v>
      </c>
      <c r="C8" s="235">
        <v>-1315256</v>
      </c>
      <c r="D8" s="235">
        <v>-1355376</v>
      </c>
      <c r="E8" s="235">
        <v>-1387230</v>
      </c>
      <c r="F8" s="235">
        <v>-1373500</v>
      </c>
      <c r="G8" s="235">
        <v>-1341843</v>
      </c>
      <c r="H8" s="235">
        <v>-1312004</v>
      </c>
      <c r="I8" s="235">
        <v>-1315977</v>
      </c>
      <c r="J8" s="235">
        <v>-1394250</v>
      </c>
      <c r="K8" s="235">
        <v>-1500216</v>
      </c>
      <c r="L8" s="235">
        <v>-1602824</v>
      </c>
      <c r="M8" s="235">
        <v>-1707335</v>
      </c>
      <c r="N8" s="235">
        <v>-1720847</v>
      </c>
      <c r="O8" s="235">
        <v>-1777137</v>
      </c>
      <c r="P8" s="235">
        <v>-1760896</v>
      </c>
      <c r="Q8" s="235">
        <v>-1775614</v>
      </c>
      <c r="R8" s="235">
        <v>-1831446</v>
      </c>
      <c r="S8" s="235">
        <v>-1799716</v>
      </c>
      <c r="T8" s="235">
        <v>-1865039</v>
      </c>
      <c r="U8" s="235">
        <v>-1765623</v>
      </c>
    </row>
    <row r="9" spans="1:21" s="172" customFormat="1" ht="24.5" thickBot="1">
      <c r="A9" s="218" t="s">
        <v>586</v>
      </c>
      <c r="B9" s="218" t="s">
        <v>556</v>
      </c>
      <c r="C9" s="235">
        <v>-181972</v>
      </c>
      <c r="D9" s="235">
        <v>-408237</v>
      </c>
      <c r="E9" s="235">
        <v>-418086</v>
      </c>
      <c r="F9" s="235">
        <v>-407337</v>
      </c>
      <c r="G9" s="235">
        <v>-417024</v>
      </c>
      <c r="H9" s="235">
        <v>-418584</v>
      </c>
      <c r="I9" s="235">
        <v>-481651</v>
      </c>
      <c r="J9" s="235">
        <v>-491121</v>
      </c>
      <c r="K9" s="235">
        <v>-461402</v>
      </c>
      <c r="L9" s="235">
        <v>-473082</v>
      </c>
      <c r="M9" s="235">
        <v>-540874</v>
      </c>
      <c r="N9" s="235">
        <v>-589226</v>
      </c>
      <c r="O9" s="235">
        <v>-595498</v>
      </c>
      <c r="P9" s="235">
        <v>-552353</v>
      </c>
      <c r="Q9" s="235">
        <v>-553509</v>
      </c>
      <c r="R9" s="235">
        <v>-605628</v>
      </c>
      <c r="S9" s="235">
        <v>-574530</v>
      </c>
      <c r="T9" s="235">
        <v>-554691</v>
      </c>
      <c r="U9" s="235">
        <v>-567205</v>
      </c>
    </row>
    <row r="10" spans="1:21" s="172" customFormat="1" ht="24">
      <c r="A10" s="219" t="s">
        <v>557</v>
      </c>
      <c r="B10" s="219" t="s">
        <v>558</v>
      </c>
      <c r="C10" s="236">
        <v>47411078</v>
      </c>
      <c r="D10" s="236">
        <v>46894753</v>
      </c>
      <c r="E10" s="236">
        <v>49101966</v>
      </c>
      <c r="F10" s="236">
        <v>49722559</v>
      </c>
      <c r="G10" s="236">
        <v>51461155</v>
      </c>
      <c r="H10" s="236">
        <v>52698865</v>
      </c>
      <c r="I10" s="236">
        <v>66513785</v>
      </c>
      <c r="J10" s="236">
        <v>68045446</v>
      </c>
      <c r="K10" s="277">
        <f>+K7+K4</f>
        <v>68043472</v>
      </c>
      <c r="L10" s="277">
        <f t="shared" ref="L10:U10" si="2">+L7+L4</f>
        <v>70496346</v>
      </c>
      <c r="M10" s="277">
        <f t="shared" si="2"/>
        <v>69858611</v>
      </c>
      <c r="N10" s="277">
        <f t="shared" si="2"/>
        <v>70834719</v>
      </c>
      <c r="O10" s="277">
        <f t="shared" si="2"/>
        <v>72023589</v>
      </c>
      <c r="P10" s="277">
        <f t="shared" si="2"/>
        <v>73003267</v>
      </c>
      <c r="Q10" s="277">
        <f t="shared" si="2"/>
        <v>74122632</v>
      </c>
      <c r="R10" s="277">
        <f t="shared" si="2"/>
        <v>76781899</v>
      </c>
      <c r="S10" s="277">
        <f t="shared" si="2"/>
        <v>78240334</v>
      </c>
      <c r="T10" s="277">
        <f t="shared" si="2"/>
        <v>78405884</v>
      </c>
      <c r="U10" s="277">
        <f t="shared" si="2"/>
        <v>79152044</v>
      </c>
    </row>
    <row r="11" spans="1:21" s="220" customFormat="1">
      <c r="A11" s="211"/>
      <c r="B11" s="211"/>
      <c r="C11" s="237"/>
      <c r="D11" s="237"/>
      <c r="E11" s="237"/>
      <c r="F11" s="237"/>
      <c r="G11" s="237"/>
      <c r="H11" s="237"/>
      <c r="I11" s="237"/>
      <c r="J11" s="237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</row>
    <row r="12" spans="1:21" s="220" customFormat="1">
      <c r="A12" s="212" t="s">
        <v>559</v>
      </c>
      <c r="B12" s="211"/>
      <c r="C12" s="237"/>
      <c r="D12" s="237"/>
      <c r="E12" s="221"/>
      <c r="F12" s="221"/>
      <c r="G12" s="221"/>
      <c r="H12" s="221"/>
      <c r="I12" s="221"/>
      <c r="J12" s="221"/>
      <c r="K12" s="279"/>
      <c r="L12" s="279"/>
      <c r="M12" s="279"/>
      <c r="N12" s="279"/>
      <c r="O12" s="279"/>
      <c r="P12" s="279"/>
      <c r="Q12" s="279"/>
      <c r="R12" s="279"/>
      <c r="S12" s="279"/>
      <c r="T12" s="279"/>
      <c r="U12" s="279"/>
    </row>
    <row r="13" spans="1:21" s="172" customFormat="1">
      <c r="A13" s="212" t="s">
        <v>560</v>
      </c>
      <c r="C13" s="239"/>
      <c r="D13" s="239"/>
      <c r="E13" s="239"/>
      <c r="F13" s="239"/>
      <c r="G13" s="238"/>
      <c r="H13" s="239"/>
      <c r="I13" s="239"/>
      <c r="J13" s="239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</row>
    <row r="14" spans="1:21" s="172" customFormat="1" ht="24.5" thickBot="1">
      <c r="A14" s="217" t="s">
        <v>546</v>
      </c>
      <c r="B14" s="217" t="s">
        <v>547</v>
      </c>
      <c r="C14" s="240">
        <v>48908306</v>
      </c>
      <c r="D14" s="240">
        <v>48658366</v>
      </c>
      <c r="E14" s="240">
        <v>50907282</v>
      </c>
      <c r="F14" s="240">
        <v>51503396</v>
      </c>
      <c r="G14" s="240">
        <v>53220022</v>
      </c>
      <c r="H14" s="240">
        <v>54429453</v>
      </c>
      <c r="I14" s="240">
        <v>68311413</v>
      </c>
      <c r="J14" s="240">
        <v>69930817</v>
      </c>
      <c r="K14" s="240">
        <f>+K15+K16</f>
        <v>70005090</v>
      </c>
      <c r="L14" s="240">
        <f t="shared" ref="L14:U14" si="3">+L15+L16</f>
        <v>72572252</v>
      </c>
      <c r="M14" s="240">
        <f t="shared" si="3"/>
        <v>72106820</v>
      </c>
      <c r="N14" s="240">
        <f t="shared" si="3"/>
        <v>73144792</v>
      </c>
      <c r="O14" s="240">
        <f t="shared" si="3"/>
        <v>74396224</v>
      </c>
      <c r="P14" s="240">
        <f t="shared" si="3"/>
        <v>75316516</v>
      </c>
      <c r="Q14" s="240">
        <f t="shared" si="3"/>
        <v>76451755</v>
      </c>
      <c r="R14" s="240">
        <f t="shared" si="3"/>
        <v>79218973</v>
      </c>
      <c r="S14" s="240">
        <f t="shared" si="3"/>
        <v>80614580</v>
      </c>
      <c r="T14" s="240">
        <f t="shared" si="3"/>
        <v>80825614</v>
      </c>
      <c r="U14" s="240">
        <f t="shared" si="3"/>
        <v>81484872</v>
      </c>
    </row>
    <row r="15" spans="1:21" s="172" customFormat="1" ht="12.5" thickBot="1">
      <c r="A15" s="216" t="s">
        <v>561</v>
      </c>
      <c r="B15" s="216" t="s">
        <v>562</v>
      </c>
      <c r="C15" s="233">
        <v>721524</v>
      </c>
      <c r="D15" s="233">
        <v>758877</v>
      </c>
      <c r="E15" s="233">
        <v>734322</v>
      </c>
      <c r="F15" s="233">
        <v>746632</v>
      </c>
      <c r="G15" s="233">
        <v>754950</v>
      </c>
      <c r="H15" s="233">
        <v>799625</v>
      </c>
      <c r="I15" s="233">
        <v>753528</v>
      </c>
      <c r="J15" s="233">
        <v>808414</v>
      </c>
      <c r="K15" s="233">
        <v>832630</v>
      </c>
      <c r="L15" s="233">
        <v>873253</v>
      </c>
      <c r="M15" s="233">
        <v>859130</v>
      </c>
      <c r="N15" s="233">
        <v>817933</v>
      </c>
      <c r="O15" s="233">
        <v>1015366</v>
      </c>
      <c r="P15" s="233">
        <v>935477</v>
      </c>
      <c r="Q15" s="233">
        <v>823253</v>
      </c>
      <c r="R15" s="233">
        <v>811129</v>
      </c>
      <c r="S15" s="233">
        <v>820462</v>
      </c>
      <c r="T15" s="233">
        <v>795046</v>
      </c>
      <c r="U15" s="233">
        <v>768339</v>
      </c>
    </row>
    <row r="16" spans="1:21" s="172" customFormat="1" ht="12.5" thickBot="1">
      <c r="A16" s="216" t="s">
        <v>563</v>
      </c>
      <c r="B16" s="216" t="s">
        <v>564</v>
      </c>
      <c r="C16" s="233">
        <v>48186782</v>
      </c>
      <c r="D16" s="233">
        <v>47899489</v>
      </c>
      <c r="E16" s="233">
        <v>50172961</v>
      </c>
      <c r="F16" s="233">
        <v>50756764</v>
      </c>
      <c r="G16" s="233">
        <v>52465072</v>
      </c>
      <c r="H16" s="233">
        <v>53629828</v>
      </c>
      <c r="I16" s="233">
        <v>67557885</v>
      </c>
      <c r="J16" s="233">
        <v>69122403</v>
      </c>
      <c r="K16" s="233">
        <v>69172460</v>
      </c>
      <c r="L16" s="233">
        <v>71698999</v>
      </c>
      <c r="M16" s="233">
        <v>71247690</v>
      </c>
      <c r="N16" s="233">
        <v>72326859</v>
      </c>
      <c r="O16" s="233">
        <v>73380858</v>
      </c>
      <c r="P16" s="304">
        <v>74381039</v>
      </c>
      <c r="Q16" s="233">
        <v>75628502</v>
      </c>
      <c r="R16" s="233">
        <v>78407844</v>
      </c>
      <c r="S16" s="233">
        <v>79794118</v>
      </c>
      <c r="T16" s="233">
        <v>80030568</v>
      </c>
      <c r="U16" s="233">
        <v>80716533</v>
      </c>
    </row>
    <row r="17" spans="1:21" s="172" customFormat="1" ht="23.4" customHeight="1" thickBot="1">
      <c r="A17" s="222" t="s">
        <v>565</v>
      </c>
      <c r="B17" s="222" t="s">
        <v>553</v>
      </c>
      <c r="C17" s="234">
        <v>-1497228</v>
      </c>
      <c r="D17" s="234">
        <v>-1763613</v>
      </c>
      <c r="E17" s="234">
        <v>-1805316</v>
      </c>
      <c r="F17" s="234">
        <v>-1780837</v>
      </c>
      <c r="G17" s="234">
        <v>-1758867</v>
      </c>
      <c r="H17" s="234">
        <v>-1730588</v>
      </c>
      <c r="I17" s="234">
        <v>-1797628</v>
      </c>
      <c r="J17" s="234">
        <v>-1885371</v>
      </c>
      <c r="K17" s="234">
        <f>+K18+K19</f>
        <v>-1961618</v>
      </c>
      <c r="L17" s="234">
        <f t="shared" ref="L17:U17" si="4">+L18+L19</f>
        <v>-2075906</v>
      </c>
      <c r="M17" s="234">
        <f t="shared" si="4"/>
        <v>-2248209</v>
      </c>
      <c r="N17" s="234">
        <f t="shared" si="4"/>
        <v>-2310073</v>
      </c>
      <c r="O17" s="234">
        <f t="shared" si="4"/>
        <v>-2372635</v>
      </c>
      <c r="P17" s="234">
        <f t="shared" si="4"/>
        <v>-2313249</v>
      </c>
      <c r="Q17" s="234">
        <f t="shared" si="4"/>
        <v>-2329123</v>
      </c>
      <c r="R17" s="234">
        <f t="shared" si="4"/>
        <v>-2437075</v>
      </c>
      <c r="S17" s="234">
        <f t="shared" si="4"/>
        <v>-2374246</v>
      </c>
      <c r="T17" s="234">
        <f t="shared" si="4"/>
        <v>-2419730</v>
      </c>
      <c r="U17" s="234">
        <f t="shared" si="4"/>
        <v>-2332828</v>
      </c>
    </row>
    <row r="18" spans="1:21" s="172" customFormat="1" ht="22.75" customHeight="1" thickBot="1">
      <c r="A18" s="218" t="s">
        <v>566</v>
      </c>
      <c r="B18" s="218" t="s">
        <v>567</v>
      </c>
      <c r="C18" s="235">
        <v>-410445</v>
      </c>
      <c r="D18" s="235">
        <v>-390499</v>
      </c>
      <c r="E18" s="235">
        <v>-374651</v>
      </c>
      <c r="F18" s="235">
        <v>-380161</v>
      </c>
      <c r="G18" s="235">
        <v>-382327</v>
      </c>
      <c r="H18" s="235">
        <v>-397314</v>
      </c>
      <c r="I18" s="235">
        <v>-360633</v>
      </c>
      <c r="J18" s="235">
        <v>-356988</v>
      </c>
      <c r="K18" s="235">
        <v>-348300</v>
      </c>
      <c r="L18" s="235">
        <v>-352566</v>
      </c>
      <c r="M18" s="235">
        <v>-368829</v>
      </c>
      <c r="N18" s="235">
        <v>-337065</v>
      </c>
      <c r="O18" s="235">
        <v>-362318</v>
      </c>
      <c r="P18" s="235">
        <v>-288902</v>
      </c>
      <c r="Q18" s="235">
        <v>-266868</v>
      </c>
      <c r="R18" s="235">
        <v>-249539</v>
      </c>
      <c r="S18" s="235">
        <v>-261290</v>
      </c>
      <c r="T18" s="235">
        <v>-262080</v>
      </c>
      <c r="U18" s="235">
        <v>-255761</v>
      </c>
    </row>
    <row r="19" spans="1:21" s="172" customFormat="1" ht="24.65" customHeight="1" thickBot="1">
      <c r="A19" s="216" t="s">
        <v>568</v>
      </c>
      <c r="B19" s="216" t="s">
        <v>569</v>
      </c>
      <c r="C19" s="235">
        <v>-1086783</v>
      </c>
      <c r="D19" s="235">
        <v>-1373114</v>
      </c>
      <c r="E19" s="235">
        <v>-1430665</v>
      </c>
      <c r="F19" s="235">
        <v>-1400676</v>
      </c>
      <c r="G19" s="235">
        <v>-1376540</v>
      </c>
      <c r="H19" s="235">
        <v>-1333274</v>
      </c>
      <c r="I19" s="235">
        <v>-1436995</v>
      </c>
      <c r="J19" s="235">
        <v>-1528383</v>
      </c>
      <c r="K19" s="235">
        <v>-1613318</v>
      </c>
      <c r="L19" s="235">
        <v>-1723340</v>
      </c>
      <c r="M19" s="235">
        <v>-1879380</v>
      </c>
      <c r="N19" s="235">
        <v>-1973008</v>
      </c>
      <c r="O19" s="235">
        <v>-2010317</v>
      </c>
      <c r="P19" s="235">
        <v>-2024347</v>
      </c>
      <c r="Q19" s="235">
        <v>-2062255</v>
      </c>
      <c r="R19" s="235">
        <v>-2187536</v>
      </c>
      <c r="S19" s="235">
        <v>-2112956</v>
      </c>
      <c r="T19" s="235">
        <v>-2157650</v>
      </c>
      <c r="U19" s="235">
        <v>-2077067</v>
      </c>
    </row>
    <row r="20" spans="1:21" s="172" customFormat="1" ht="26.4" customHeight="1" thickBot="1">
      <c r="A20" s="223" t="s">
        <v>557</v>
      </c>
      <c r="B20" s="223" t="s">
        <v>558</v>
      </c>
      <c r="C20" s="241">
        <v>47411078</v>
      </c>
      <c r="D20" s="241">
        <v>46894754</v>
      </c>
      <c r="E20" s="241">
        <v>49101966</v>
      </c>
      <c r="F20" s="241">
        <v>49722559</v>
      </c>
      <c r="G20" s="241">
        <v>51461155</v>
      </c>
      <c r="H20" s="241">
        <v>52698865</v>
      </c>
      <c r="I20" s="241">
        <v>66513785</v>
      </c>
      <c r="J20" s="241">
        <v>68045446</v>
      </c>
      <c r="K20" s="241">
        <f>+K17+K14</f>
        <v>68043472</v>
      </c>
      <c r="L20" s="241">
        <f t="shared" ref="L20:U20" si="5">+L17+L14</f>
        <v>70496346</v>
      </c>
      <c r="M20" s="241">
        <f t="shared" si="5"/>
        <v>69858611</v>
      </c>
      <c r="N20" s="241">
        <f t="shared" si="5"/>
        <v>70834719</v>
      </c>
      <c r="O20" s="241">
        <f t="shared" si="5"/>
        <v>72023589</v>
      </c>
      <c r="P20" s="241">
        <f t="shared" si="5"/>
        <v>73003267</v>
      </c>
      <c r="Q20" s="241">
        <f t="shared" si="5"/>
        <v>74122632</v>
      </c>
      <c r="R20" s="241">
        <f t="shared" si="5"/>
        <v>76781898</v>
      </c>
      <c r="S20" s="241">
        <f t="shared" si="5"/>
        <v>78240334</v>
      </c>
      <c r="T20" s="241">
        <f t="shared" si="5"/>
        <v>78405884</v>
      </c>
      <c r="U20" s="241">
        <f t="shared" si="5"/>
        <v>79152044</v>
      </c>
    </row>
    <row r="21" spans="1:21" s="172" customFormat="1">
      <c r="C21" s="238"/>
      <c r="D21" s="238"/>
      <c r="E21" s="238"/>
      <c r="F21" s="238"/>
      <c r="G21" s="238"/>
      <c r="H21" s="239"/>
      <c r="I21" s="239"/>
      <c r="J21" s="239"/>
      <c r="K21" s="239"/>
      <c r="L21" s="238"/>
      <c r="M21" s="238"/>
      <c r="N21" s="238"/>
      <c r="O21" s="238"/>
      <c r="P21" s="238"/>
      <c r="Q21" s="238"/>
      <c r="R21" s="238"/>
      <c r="S21" s="238"/>
      <c r="T21" s="238"/>
      <c r="U21" s="238"/>
    </row>
    <row r="22" spans="1:21" s="172" customFormat="1">
      <c r="A22" s="212" t="s">
        <v>570</v>
      </c>
      <c r="B22" s="224"/>
      <c r="C22" s="238"/>
      <c r="D22" s="238"/>
      <c r="E22" s="238"/>
      <c r="F22" s="238"/>
      <c r="G22" s="238"/>
      <c r="H22" s="239"/>
      <c r="I22" s="239"/>
      <c r="J22" s="239"/>
      <c r="K22" s="239"/>
      <c r="L22" s="238"/>
      <c r="M22" s="238"/>
      <c r="N22" s="238"/>
      <c r="O22" s="238"/>
      <c r="P22" s="238"/>
      <c r="Q22" s="238"/>
      <c r="R22" s="238"/>
      <c r="S22" s="238"/>
      <c r="T22" s="238"/>
      <c r="U22" s="238"/>
    </row>
    <row r="23" spans="1:21" s="172" customFormat="1">
      <c r="A23" s="212" t="s">
        <v>571</v>
      </c>
      <c r="B23" s="224"/>
      <c r="C23" s="238"/>
      <c r="D23" s="238"/>
      <c r="E23" s="238"/>
      <c r="F23" s="238"/>
      <c r="G23" s="238"/>
      <c r="H23" s="239"/>
      <c r="I23" s="239"/>
      <c r="J23" s="239"/>
      <c r="K23" s="239"/>
      <c r="L23" s="238"/>
      <c r="M23" s="238"/>
      <c r="N23" s="238"/>
      <c r="O23" s="238"/>
      <c r="P23" s="238"/>
      <c r="Q23" s="238"/>
      <c r="R23" s="238"/>
      <c r="S23" s="238"/>
      <c r="T23" s="238"/>
      <c r="U23" s="238"/>
    </row>
    <row r="24" spans="1:21" s="172" customFormat="1">
      <c r="A24" s="213"/>
      <c r="B24" s="213"/>
      <c r="C24" s="242" t="s">
        <v>284</v>
      </c>
      <c r="D24" s="242" t="s">
        <v>314</v>
      </c>
      <c r="E24" s="242" t="s">
        <v>365</v>
      </c>
      <c r="F24" s="242" t="s">
        <v>406</v>
      </c>
      <c r="G24" s="242" t="s">
        <v>409</v>
      </c>
      <c r="H24" s="242" t="s">
        <v>413</v>
      </c>
      <c r="I24" s="242" t="s">
        <v>424</v>
      </c>
      <c r="J24" s="242" t="s">
        <v>429</v>
      </c>
      <c r="K24" s="280" t="s">
        <v>435</v>
      </c>
      <c r="L24" s="280" t="str">
        <f>L3</f>
        <v>31.03.2020</v>
      </c>
      <c r="M24" s="280" t="str">
        <f>M3</f>
        <v>30.06.2020</v>
      </c>
      <c r="N24" s="280" t="s">
        <v>595</v>
      </c>
      <c r="O24" s="280" t="s">
        <v>603</v>
      </c>
      <c r="P24" s="280" t="s">
        <v>613</v>
      </c>
      <c r="Q24" s="280" t="s">
        <v>627</v>
      </c>
      <c r="R24" s="280" t="s">
        <v>631</v>
      </c>
      <c r="S24" s="280" t="s">
        <v>638</v>
      </c>
      <c r="T24" s="280" t="s">
        <v>644</v>
      </c>
      <c r="U24" s="280" t="s">
        <v>647</v>
      </c>
    </row>
    <row r="25" spans="1:21" s="172" customFormat="1" ht="24.5" thickBot="1">
      <c r="A25" s="222" t="s">
        <v>587</v>
      </c>
      <c r="B25" s="222" t="s">
        <v>588</v>
      </c>
      <c r="C25" s="246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</row>
    <row r="26" spans="1:21" s="172" customFormat="1" ht="12.5" thickBot="1">
      <c r="A26" s="218" t="s">
        <v>572</v>
      </c>
      <c r="B26" s="218" t="s">
        <v>573</v>
      </c>
      <c r="C26" s="246"/>
      <c r="D26" s="233">
        <v>13462398</v>
      </c>
      <c r="E26" s="233">
        <v>14438792</v>
      </c>
      <c r="F26" s="233">
        <v>14858781</v>
      </c>
      <c r="G26" s="233">
        <v>15816645</v>
      </c>
      <c r="H26" s="233">
        <v>16169108</v>
      </c>
      <c r="I26" s="233">
        <v>16430318</v>
      </c>
      <c r="J26" s="233">
        <v>16625642</v>
      </c>
      <c r="K26" s="233">
        <v>16922072</v>
      </c>
      <c r="L26" s="233">
        <v>17361087</v>
      </c>
      <c r="M26" s="233">
        <v>16538949</v>
      </c>
      <c r="N26" s="233">
        <v>16369837</v>
      </c>
      <c r="O26" s="233">
        <v>16415941</v>
      </c>
      <c r="P26" s="233">
        <v>15852308</v>
      </c>
      <c r="Q26" s="233">
        <v>17026279</v>
      </c>
      <c r="R26" s="233">
        <v>17387751</v>
      </c>
      <c r="S26" s="233">
        <v>17700784</v>
      </c>
      <c r="T26" s="233">
        <v>17650188</v>
      </c>
      <c r="U26" s="233">
        <v>18243744</v>
      </c>
    </row>
    <row r="27" spans="1:21" s="172" customFormat="1" ht="12.5" thickBot="1">
      <c r="A27" s="218" t="s">
        <v>574</v>
      </c>
      <c r="B27" s="218" t="s">
        <v>575</v>
      </c>
      <c r="C27" s="246"/>
      <c r="D27" s="233">
        <v>2027941</v>
      </c>
      <c r="E27" s="233">
        <v>1893411</v>
      </c>
      <c r="F27" s="233">
        <v>1545422</v>
      </c>
      <c r="G27" s="233">
        <v>1515844</v>
      </c>
      <c r="H27" s="233">
        <v>1601457</v>
      </c>
      <c r="I27" s="233">
        <v>1703716</v>
      </c>
      <c r="J27" s="233">
        <v>1452733</v>
      </c>
      <c r="K27" s="233">
        <v>1420472</v>
      </c>
      <c r="L27" s="233">
        <v>1390960</v>
      </c>
      <c r="M27" s="233">
        <v>1460442</v>
      </c>
      <c r="N27" s="233">
        <v>1523044</v>
      </c>
      <c r="O27" s="233">
        <v>1561333.9498000001</v>
      </c>
      <c r="P27" s="233">
        <v>2231234.9383300003</v>
      </c>
      <c r="Q27" s="233">
        <v>1359778.9638100001</v>
      </c>
      <c r="R27" s="233">
        <v>1247629</v>
      </c>
      <c r="S27" s="233">
        <v>1032373</v>
      </c>
      <c r="T27" s="233">
        <v>1212763</v>
      </c>
      <c r="U27" s="233">
        <v>1169665</v>
      </c>
    </row>
    <row r="28" spans="1:21" s="172" customFormat="1" ht="12.5" thickBot="1">
      <c r="A28" s="218" t="s">
        <v>576</v>
      </c>
      <c r="B28" s="218" t="s">
        <v>577</v>
      </c>
      <c r="C28" s="246"/>
      <c r="D28" s="233">
        <v>800598</v>
      </c>
      <c r="E28" s="233">
        <v>784046</v>
      </c>
      <c r="F28" s="233">
        <v>807587</v>
      </c>
      <c r="G28" s="233">
        <v>791348</v>
      </c>
      <c r="H28" s="233">
        <v>836316</v>
      </c>
      <c r="I28" s="233">
        <v>793164</v>
      </c>
      <c r="J28" s="233">
        <v>825435</v>
      </c>
      <c r="K28" s="233">
        <v>858434</v>
      </c>
      <c r="L28" s="233">
        <v>890773</v>
      </c>
      <c r="M28" s="233">
        <v>881052</v>
      </c>
      <c r="N28" s="233">
        <v>834908</v>
      </c>
      <c r="O28" s="233">
        <v>1031288.49676</v>
      </c>
      <c r="P28" s="233">
        <v>932925.49676000001</v>
      </c>
      <c r="Q28" s="233">
        <v>850674.49676000001</v>
      </c>
      <c r="R28" s="233">
        <v>818186.49676000001</v>
      </c>
      <c r="S28" s="233">
        <v>806708.49676000001</v>
      </c>
      <c r="T28" s="233">
        <v>847960.86436999997</v>
      </c>
      <c r="U28" s="233">
        <v>848946.86436999997</v>
      </c>
    </row>
    <row r="29" spans="1:21" s="172" customFormat="1" ht="12.5" thickBot="1">
      <c r="A29" s="218" t="s">
        <v>578</v>
      </c>
      <c r="B29" s="218" t="s">
        <v>578</v>
      </c>
      <c r="C29" s="246"/>
      <c r="D29" s="233">
        <v>0</v>
      </c>
      <c r="E29" s="233">
        <v>0</v>
      </c>
      <c r="F29" s="233">
        <v>0</v>
      </c>
      <c r="G29" s="233">
        <v>139</v>
      </c>
      <c r="H29" s="233">
        <v>101</v>
      </c>
      <c r="I29" s="233">
        <v>101</v>
      </c>
      <c r="J29" s="233">
        <v>101</v>
      </c>
      <c r="K29" s="233">
        <v>101</v>
      </c>
      <c r="L29" s="233">
        <v>101</v>
      </c>
      <c r="M29" s="233">
        <v>101</v>
      </c>
      <c r="N29" s="233">
        <v>101</v>
      </c>
      <c r="O29" s="233">
        <v>58.553440000000101</v>
      </c>
      <c r="P29" s="233">
        <v>58.564910000000069</v>
      </c>
      <c r="Q29" s="233">
        <v>58.539430000000166</v>
      </c>
      <c r="R29" s="233">
        <v>58.503239999999927</v>
      </c>
      <c r="S29" s="233">
        <v>58.503240000000034</v>
      </c>
      <c r="T29" s="233">
        <v>58.135629999999978</v>
      </c>
      <c r="U29" s="233">
        <v>58.135629999999885</v>
      </c>
    </row>
    <row r="30" spans="1:21" s="172" customFormat="1">
      <c r="A30" s="225" t="s">
        <v>68</v>
      </c>
      <c r="B30" s="225" t="s">
        <v>579</v>
      </c>
      <c r="C30" s="247"/>
      <c r="D30" s="236">
        <v>16290937</v>
      </c>
      <c r="E30" s="236">
        <v>17116249</v>
      </c>
      <c r="F30" s="236">
        <v>17211790</v>
      </c>
      <c r="G30" s="236">
        <v>18123976</v>
      </c>
      <c r="H30" s="236">
        <v>18606982</v>
      </c>
      <c r="I30" s="236">
        <v>18927299</v>
      </c>
      <c r="J30" s="236">
        <v>18903911</v>
      </c>
      <c r="K30" s="277">
        <f t="shared" ref="K30:P30" si="6">SUM(K26:K29)</f>
        <v>19201079</v>
      </c>
      <c r="L30" s="277">
        <f t="shared" si="6"/>
        <v>19642921</v>
      </c>
      <c r="M30" s="277">
        <f t="shared" si="6"/>
        <v>18880544</v>
      </c>
      <c r="N30" s="277">
        <f t="shared" si="6"/>
        <v>18727890</v>
      </c>
      <c r="O30" s="277">
        <f t="shared" si="6"/>
        <v>19008622</v>
      </c>
      <c r="P30" s="277">
        <f t="shared" si="6"/>
        <v>19016527</v>
      </c>
      <c r="Q30" s="277">
        <f>SUM(Q26:Q29)</f>
        <v>19236791</v>
      </c>
      <c r="R30" s="277">
        <f>SUM(R26:R29)</f>
        <v>19453625</v>
      </c>
      <c r="S30" s="277">
        <f>SUM(S26:S29)</f>
        <v>19539924</v>
      </c>
      <c r="T30" s="277">
        <f>SUM(T26:T29)</f>
        <v>19710970</v>
      </c>
      <c r="U30" s="277">
        <f>SUM(U26:U29)</f>
        <v>20262414</v>
      </c>
    </row>
    <row r="31" spans="1:21" s="226" customFormat="1">
      <c r="A31" s="220"/>
      <c r="B31" s="220"/>
      <c r="C31" s="243"/>
      <c r="D31" s="243"/>
      <c r="E31" s="243"/>
      <c r="F31" s="243"/>
      <c r="G31" s="243"/>
      <c r="H31" s="243"/>
      <c r="I31" s="243"/>
      <c r="J31" s="243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</row>
    <row r="32" spans="1:21" s="172" customFormat="1" ht="27.65" customHeight="1" thickBot="1">
      <c r="A32" s="222" t="s">
        <v>580</v>
      </c>
      <c r="B32" s="222" t="s">
        <v>581</v>
      </c>
      <c r="C32" s="246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</row>
    <row r="33" spans="1:21" s="172" customFormat="1" ht="12.5" thickBot="1">
      <c r="A33" s="218" t="s">
        <v>572</v>
      </c>
      <c r="B33" s="218" t="s">
        <v>573</v>
      </c>
      <c r="C33" s="246"/>
      <c r="D33" s="233">
        <v>-146850</v>
      </c>
      <c r="E33" s="233">
        <v>-162260</v>
      </c>
      <c r="F33" s="233">
        <v>-158550</v>
      </c>
      <c r="G33" s="233">
        <v>-159066</v>
      </c>
      <c r="H33" s="233">
        <v>-164091</v>
      </c>
      <c r="I33" s="233">
        <v>-162575</v>
      </c>
      <c r="J33" s="233">
        <v>-164380</v>
      </c>
      <c r="K33" s="233">
        <v>-135365</v>
      </c>
      <c r="L33" s="233">
        <v>-136538</v>
      </c>
      <c r="M33" s="233">
        <v>-141209</v>
      </c>
      <c r="N33" s="233">
        <v>-127072</v>
      </c>
      <c r="O33" s="233">
        <v>-119748</v>
      </c>
      <c r="P33" s="233">
        <v>-125917</v>
      </c>
      <c r="Q33" s="233">
        <v>-122181</v>
      </c>
      <c r="R33" s="233">
        <v>-128206</v>
      </c>
      <c r="S33" s="233">
        <v>-115981</v>
      </c>
      <c r="T33" s="233">
        <v>-104546</v>
      </c>
      <c r="U33" s="233">
        <v>-99708</v>
      </c>
    </row>
    <row r="34" spans="1:21" s="172" customFormat="1" ht="12.5" thickBot="1">
      <c r="A34" s="218" t="s">
        <v>574</v>
      </c>
      <c r="B34" s="218" t="s">
        <v>575</v>
      </c>
      <c r="C34" s="246"/>
      <c r="D34" s="233">
        <v>-86672</v>
      </c>
      <c r="E34" s="233">
        <v>-79485</v>
      </c>
      <c r="F34" s="233">
        <v>-73850</v>
      </c>
      <c r="G34" s="233">
        <v>-62920</v>
      </c>
      <c r="H34" s="233">
        <v>-61864</v>
      </c>
      <c r="I34" s="233">
        <v>-51542</v>
      </c>
      <c r="J34" s="233">
        <v>-46829</v>
      </c>
      <c r="K34" s="233">
        <v>-34301</v>
      </c>
      <c r="L34" s="233">
        <v>-34405</v>
      </c>
      <c r="M34" s="233">
        <v>-36171</v>
      </c>
      <c r="N34" s="233">
        <v>-43475</v>
      </c>
      <c r="O34" s="233">
        <v>-41409.937060000004</v>
      </c>
      <c r="P34" s="233">
        <v>-52316.915379999999</v>
      </c>
      <c r="Q34" s="233">
        <v>-50950.45779</v>
      </c>
      <c r="R34" s="233">
        <v>-48549</v>
      </c>
      <c r="S34" s="233">
        <v>-45876</v>
      </c>
      <c r="T34" s="233">
        <v>-50692</v>
      </c>
      <c r="U34" s="233">
        <v>-41998</v>
      </c>
    </row>
    <row r="35" spans="1:21" s="172" customFormat="1" ht="12.5" thickBot="1">
      <c r="A35" s="218" t="s">
        <v>576</v>
      </c>
      <c r="B35" s="218" t="s">
        <v>577</v>
      </c>
      <c r="C35" s="246"/>
      <c r="D35" s="233">
        <v>-459198</v>
      </c>
      <c r="E35" s="233">
        <v>-452456</v>
      </c>
      <c r="F35" s="233">
        <v>-459416</v>
      </c>
      <c r="G35" s="233">
        <v>-456314</v>
      </c>
      <c r="H35" s="233">
        <v>-462155</v>
      </c>
      <c r="I35" s="233">
        <v>-406064</v>
      </c>
      <c r="J35" s="233">
        <v>-409264</v>
      </c>
      <c r="K35" s="233">
        <v>-432938</v>
      </c>
      <c r="L35" s="233">
        <v>-437627</v>
      </c>
      <c r="M35" s="233">
        <v>-471387</v>
      </c>
      <c r="N35" s="233">
        <v>-449838</v>
      </c>
      <c r="O35" s="233">
        <v>-469813.86106999998</v>
      </c>
      <c r="P35" s="233">
        <v>-377454.61236999999</v>
      </c>
      <c r="Q35" s="233">
        <v>-360144.03444999998</v>
      </c>
      <c r="R35" s="233">
        <v>-326187.31566999998</v>
      </c>
      <c r="S35" s="233">
        <v>-320822.31566999998</v>
      </c>
      <c r="T35" s="233">
        <v>-336388.73736999999</v>
      </c>
      <c r="U35" s="233">
        <v>-335586.43312</v>
      </c>
    </row>
    <row r="36" spans="1:21" s="172" customFormat="1" ht="12.5" thickBot="1">
      <c r="A36" s="218" t="s">
        <v>578</v>
      </c>
      <c r="B36" s="218" t="s">
        <v>578</v>
      </c>
      <c r="C36" s="246"/>
      <c r="D36" s="233">
        <v>0</v>
      </c>
      <c r="E36" s="233">
        <v>0</v>
      </c>
      <c r="F36" s="233">
        <v>0</v>
      </c>
      <c r="G36" s="233">
        <v>130</v>
      </c>
      <c r="H36" s="233">
        <v>-23</v>
      </c>
      <c r="I36" s="233">
        <v>-23</v>
      </c>
      <c r="J36" s="233">
        <v>-23</v>
      </c>
      <c r="K36" s="233">
        <v>-23</v>
      </c>
      <c r="L36" s="233">
        <v>-23</v>
      </c>
      <c r="M36" s="233">
        <v>-23</v>
      </c>
      <c r="N36" s="233">
        <v>-23</v>
      </c>
      <c r="O36" s="233">
        <v>254.79812999999999</v>
      </c>
      <c r="P36" s="233">
        <v>244.52774999999997</v>
      </c>
      <c r="Q36" s="233">
        <v>241.49224000000001</v>
      </c>
      <c r="R36" s="233">
        <v>231.31567000000001</v>
      </c>
      <c r="S36" s="233">
        <v>231.31566999999998</v>
      </c>
      <c r="T36" s="233">
        <v>138.73737</v>
      </c>
      <c r="U36" s="233">
        <v>127.43312</v>
      </c>
    </row>
    <row r="37" spans="1:21" s="172" customFormat="1">
      <c r="A37" s="225" t="s">
        <v>68</v>
      </c>
      <c r="B37" s="225" t="s">
        <v>579</v>
      </c>
      <c r="C37" s="247"/>
      <c r="D37" s="236">
        <v>-692720</v>
      </c>
      <c r="E37" s="236">
        <v>-694201</v>
      </c>
      <c r="F37" s="236">
        <v>-691816</v>
      </c>
      <c r="G37" s="236">
        <v>-678170</v>
      </c>
      <c r="H37" s="236">
        <v>-688133</v>
      </c>
      <c r="I37" s="236">
        <v>-620204</v>
      </c>
      <c r="J37" s="236">
        <v>-620496</v>
      </c>
      <c r="K37" s="277">
        <f t="shared" ref="K37:P37" si="7">SUM(K33:K36)</f>
        <v>-602627</v>
      </c>
      <c r="L37" s="277">
        <f t="shared" si="7"/>
        <v>-608593</v>
      </c>
      <c r="M37" s="277">
        <f t="shared" si="7"/>
        <v>-648790</v>
      </c>
      <c r="N37" s="277">
        <f t="shared" si="7"/>
        <v>-620408</v>
      </c>
      <c r="O37" s="277">
        <f t="shared" si="7"/>
        <v>-630717</v>
      </c>
      <c r="P37" s="277">
        <f t="shared" si="7"/>
        <v>-555444</v>
      </c>
      <c r="Q37" s="277">
        <f>SUM(Q33:Q36)</f>
        <v>-533034</v>
      </c>
      <c r="R37" s="277">
        <f>SUM(R33:R36)</f>
        <v>-502711</v>
      </c>
      <c r="S37" s="277">
        <f>SUM(S33:S36)</f>
        <v>-482448</v>
      </c>
      <c r="T37" s="277">
        <f>SUM(T33:T36)</f>
        <v>-491488</v>
      </c>
      <c r="U37" s="277">
        <f>SUM(U33:U36)</f>
        <v>-477165</v>
      </c>
    </row>
    <row r="38" spans="1:21" s="226" customFormat="1">
      <c r="A38" s="229"/>
      <c r="B38" s="229"/>
      <c r="C38" s="244"/>
      <c r="D38" s="244"/>
      <c r="E38" s="244"/>
      <c r="F38" s="244"/>
      <c r="G38" s="244"/>
      <c r="H38" s="244"/>
      <c r="I38" s="244"/>
      <c r="J38" s="244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</row>
    <row r="39" spans="1:21" s="172" customFormat="1" ht="37.75" customHeight="1" thickBot="1">
      <c r="A39" s="222" t="s">
        <v>582</v>
      </c>
      <c r="B39" s="222" t="s">
        <v>583</v>
      </c>
      <c r="C39" s="246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</row>
    <row r="40" spans="1:21" s="172" customFormat="1" ht="12.5" thickBot="1">
      <c r="A40" s="218" t="s">
        <v>572</v>
      </c>
      <c r="B40" s="218" t="s">
        <v>573</v>
      </c>
      <c r="C40" s="246"/>
      <c r="D40" s="233">
        <v>29442327</v>
      </c>
      <c r="E40" s="233">
        <v>30684793</v>
      </c>
      <c r="F40" s="233">
        <v>31200056</v>
      </c>
      <c r="G40" s="233">
        <v>31901749</v>
      </c>
      <c r="H40" s="233">
        <v>32699729</v>
      </c>
      <c r="I40" s="233">
        <v>45863874</v>
      </c>
      <c r="J40" s="233">
        <v>47191042</v>
      </c>
      <c r="K40" s="233">
        <v>46666986</v>
      </c>
      <c r="L40" s="233">
        <v>48628363</v>
      </c>
      <c r="M40" s="233">
        <v>48507300</v>
      </c>
      <c r="N40" s="233">
        <v>49399465.314939998</v>
      </c>
      <c r="O40" s="233">
        <v>50309935.502870001</v>
      </c>
      <c r="P40" s="233">
        <v>51802785.314939998</v>
      </c>
      <c r="Q40" s="233">
        <v>52315116.441820003</v>
      </c>
      <c r="R40" s="233">
        <v>54306956.314939998</v>
      </c>
      <c r="S40" s="233">
        <v>55561932.314939998</v>
      </c>
      <c r="T40" s="233">
        <v>55692622.314939998</v>
      </c>
      <c r="U40" s="233">
        <v>55672602.314939998</v>
      </c>
    </row>
    <row r="41" spans="1:21" s="172" customFormat="1" ht="12.5" thickBot="1">
      <c r="A41" s="218" t="s">
        <v>574</v>
      </c>
      <c r="B41" s="218" t="s">
        <v>575</v>
      </c>
      <c r="C41" s="246"/>
      <c r="D41" s="233">
        <v>1361611</v>
      </c>
      <c r="E41" s="233">
        <v>1481562</v>
      </c>
      <c r="F41" s="233">
        <v>1487402</v>
      </c>
      <c r="G41" s="233">
        <v>1581890</v>
      </c>
      <c r="H41" s="233">
        <v>1547707</v>
      </c>
      <c r="I41" s="233">
        <v>1368587</v>
      </c>
      <c r="J41" s="233">
        <v>1557223</v>
      </c>
      <c r="K41" s="233">
        <v>1743114</v>
      </c>
      <c r="L41" s="233">
        <v>1676868</v>
      </c>
      <c r="M41" s="233">
        <v>2072049.43509</v>
      </c>
      <c r="N41" s="233">
        <v>2353357.44129</v>
      </c>
      <c r="O41" s="233">
        <v>2387687.2231000001</v>
      </c>
      <c r="P41" s="304">
        <v>1752642.19808</v>
      </c>
      <c r="Q41" s="233">
        <v>2145776.36075</v>
      </c>
      <c r="R41" s="233">
        <v>2614227.4271999998</v>
      </c>
      <c r="S41" s="233">
        <v>2809032.3817599998</v>
      </c>
      <c r="T41" s="233">
        <v>2706932.95762</v>
      </c>
      <c r="U41" s="233">
        <v>2930517.1465099999</v>
      </c>
    </row>
    <row r="42" spans="1:21" s="172" customFormat="1" ht="12.5" thickBot="1">
      <c r="A42" s="218" t="s">
        <v>576</v>
      </c>
      <c r="B42" s="218" t="s">
        <v>577</v>
      </c>
      <c r="C42" s="246"/>
      <c r="D42" s="233">
        <v>1563491</v>
      </c>
      <c r="E42" s="233">
        <v>1624678</v>
      </c>
      <c r="F42" s="233">
        <v>1604148</v>
      </c>
      <c r="G42" s="233">
        <v>1597136</v>
      </c>
      <c r="H42" s="233">
        <v>1563065</v>
      </c>
      <c r="I42" s="233">
        <v>1600468</v>
      </c>
      <c r="J42" s="233">
        <v>1742554</v>
      </c>
      <c r="K42" s="233">
        <v>1869922</v>
      </c>
      <c r="L42" s="233">
        <v>2122564</v>
      </c>
      <c r="M42" s="233">
        <v>2198276.5360999997</v>
      </c>
      <c r="N42" s="233">
        <v>2236692.9935299992</v>
      </c>
      <c r="O42" s="233">
        <v>2290587.7028299994</v>
      </c>
      <c r="P42" s="304">
        <v>2394153.9842900001</v>
      </c>
      <c r="Q42" s="233">
        <v>2439949.84179</v>
      </c>
      <c r="R42" s="233">
        <v>2549059.13582</v>
      </c>
      <c r="S42" s="233">
        <v>2462473.0463699996</v>
      </c>
      <c r="T42" s="233">
        <v>2481340.4401200004</v>
      </c>
      <c r="U42" s="233">
        <v>2444368.6285900003</v>
      </c>
    </row>
    <row r="43" spans="1:21" s="172" customFormat="1" ht="12.5" thickBot="1">
      <c r="A43" s="218" t="s">
        <v>578</v>
      </c>
      <c r="B43" s="218" t="s">
        <v>578</v>
      </c>
      <c r="C43" s="246"/>
      <c r="D43" s="233">
        <v>0</v>
      </c>
      <c r="E43" s="233">
        <v>0</v>
      </c>
      <c r="F43" s="233">
        <v>0</v>
      </c>
      <c r="G43" s="233">
        <v>15271</v>
      </c>
      <c r="H43" s="233">
        <v>11970</v>
      </c>
      <c r="I43" s="233">
        <v>551185</v>
      </c>
      <c r="J43" s="233">
        <v>536087</v>
      </c>
      <c r="K43" s="233">
        <v>523989</v>
      </c>
      <c r="L43" s="233">
        <v>501536</v>
      </c>
      <c r="M43" s="233">
        <v>448649.7138700005</v>
      </c>
      <c r="N43" s="233">
        <v>427386.25024000078</v>
      </c>
      <c r="O43" s="233">
        <v>399391.57119000074</v>
      </c>
      <c r="P43" s="304">
        <v>350407.90268999973</v>
      </c>
      <c r="Q43" s="233">
        <v>314121.35563999991</v>
      </c>
      <c r="R43" s="233">
        <v>295104.12204000016</v>
      </c>
      <c r="S43" s="233">
        <v>241218.25693000056</v>
      </c>
      <c r="T43" s="233">
        <v>233748.28731999962</v>
      </c>
      <c r="U43" s="233">
        <v>174969.90995999984</v>
      </c>
    </row>
    <row r="44" spans="1:21" s="172" customFormat="1">
      <c r="A44" s="225" t="s">
        <v>68</v>
      </c>
      <c r="B44" s="225" t="s">
        <v>579</v>
      </c>
      <c r="C44" s="247"/>
      <c r="D44" s="236">
        <v>32367429</v>
      </c>
      <c r="E44" s="236">
        <v>33791033</v>
      </c>
      <c r="F44" s="236">
        <v>34291606</v>
      </c>
      <c r="G44" s="236">
        <v>35096046</v>
      </c>
      <c r="H44" s="236">
        <v>35822471</v>
      </c>
      <c r="I44" s="236">
        <v>49384114</v>
      </c>
      <c r="J44" s="236">
        <v>51026906</v>
      </c>
      <c r="K44" s="277">
        <f t="shared" ref="K44:P44" si="8">SUM(K40:K43)</f>
        <v>50804011</v>
      </c>
      <c r="L44" s="277">
        <f t="shared" si="8"/>
        <v>52929331</v>
      </c>
      <c r="M44" s="277">
        <f t="shared" si="8"/>
        <v>53226275.685060002</v>
      </c>
      <c r="N44" s="277">
        <f t="shared" si="8"/>
        <v>54416901.999999993</v>
      </c>
      <c r="O44" s="277">
        <f t="shared" si="8"/>
        <v>55387601.999990001</v>
      </c>
      <c r="P44" s="277">
        <f t="shared" si="8"/>
        <v>56299989.399999999</v>
      </c>
      <c r="Q44" s="277">
        <f>SUM(Q40:Q43)</f>
        <v>57214964</v>
      </c>
      <c r="R44" s="277">
        <f>SUM(R40:R43)</f>
        <v>59765347</v>
      </c>
      <c r="S44" s="277">
        <f>SUM(S40:S43)</f>
        <v>61074656</v>
      </c>
      <c r="T44" s="277">
        <f>SUM(T40:T43)</f>
        <v>61114644</v>
      </c>
      <c r="U44" s="277">
        <f>SUM(U40:U43)</f>
        <v>61222458</v>
      </c>
    </row>
    <row r="45" spans="1:21" s="226" customFormat="1">
      <c r="A45" s="230"/>
      <c r="B45" s="230"/>
      <c r="C45" s="243"/>
      <c r="D45" s="243"/>
      <c r="E45" s="243"/>
      <c r="F45" s="243"/>
      <c r="G45" s="243"/>
      <c r="H45" s="243"/>
      <c r="I45" s="243"/>
      <c r="J45" s="243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</row>
    <row r="46" spans="1:21" s="172" customFormat="1" ht="24.65" customHeight="1" thickBot="1">
      <c r="A46" s="222" t="s">
        <v>584</v>
      </c>
      <c r="B46" s="222" t="s">
        <v>585</v>
      </c>
      <c r="C46" s="248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</row>
    <row r="47" spans="1:21" s="172" customFormat="1" ht="12.5" thickBot="1">
      <c r="A47" s="218" t="s">
        <v>572</v>
      </c>
      <c r="B47" s="218" t="s">
        <v>573</v>
      </c>
      <c r="C47" s="246"/>
      <c r="D47" s="233">
        <v>-66746</v>
      </c>
      <c r="E47" s="233">
        <v>-65201</v>
      </c>
      <c r="F47" s="233">
        <v>-66965</v>
      </c>
      <c r="G47" s="233">
        <v>-73508</v>
      </c>
      <c r="H47" s="233">
        <v>-75797</v>
      </c>
      <c r="I47" s="233">
        <v>-169809</v>
      </c>
      <c r="J47" s="233">
        <v>-160392</v>
      </c>
      <c r="K47" s="233">
        <v>-138457</v>
      </c>
      <c r="L47" s="233">
        <v>-153980</v>
      </c>
      <c r="M47" s="233">
        <v>-205500</v>
      </c>
      <c r="N47" s="233">
        <v>-254228.96934000001</v>
      </c>
      <c r="O47" s="233">
        <v>-245410.96934000001</v>
      </c>
      <c r="P47" s="233">
        <v>-256035.96934000001</v>
      </c>
      <c r="Q47" s="233">
        <v>-245481.96934000001</v>
      </c>
      <c r="R47" s="233">
        <v>-241364.46934000001</v>
      </c>
      <c r="S47" s="233">
        <v>-224195.96934000001</v>
      </c>
      <c r="T47" s="233">
        <v>-211386.99715000001</v>
      </c>
      <c r="U47" s="233">
        <v>-228393.99991000001</v>
      </c>
    </row>
    <row r="48" spans="1:21" s="172" customFormat="1" ht="12.5" thickBot="1">
      <c r="A48" s="218" t="s">
        <v>574</v>
      </c>
      <c r="B48" s="218" t="s">
        <v>575</v>
      </c>
      <c r="C48" s="246"/>
      <c r="D48" s="233">
        <v>-107969</v>
      </c>
      <c r="E48" s="233">
        <v>-111140</v>
      </c>
      <c r="F48" s="233">
        <v>-107972</v>
      </c>
      <c r="G48" s="233">
        <v>-121530</v>
      </c>
      <c r="H48" s="233">
        <v>-116832</v>
      </c>
      <c r="I48" s="233">
        <v>-98583</v>
      </c>
      <c r="J48" s="233">
        <v>-121559</v>
      </c>
      <c r="K48" s="233">
        <v>-155913</v>
      </c>
      <c r="L48" s="233">
        <v>-151364</v>
      </c>
      <c r="M48" s="233">
        <v>-161948.29123999999</v>
      </c>
      <c r="N48" s="233">
        <v>-211307.06909999999</v>
      </c>
      <c r="O48" s="233">
        <v>-251526.98697000003</v>
      </c>
      <c r="P48" s="233">
        <v>-182192.92474000005</v>
      </c>
      <c r="Q48" s="233">
        <v>-202518.13577999998</v>
      </c>
      <c r="R48" s="233">
        <v>-251548.96022000004</v>
      </c>
      <c r="S48" s="233">
        <v>-250417.15914999996</v>
      </c>
      <c r="T48" s="233">
        <v>-246443.41</v>
      </c>
      <c r="U48" s="233">
        <v>-252761.26759</v>
      </c>
    </row>
    <row r="49" spans="1:21" s="172" customFormat="1" ht="12.5" thickBot="1">
      <c r="A49" s="218" t="s">
        <v>576</v>
      </c>
      <c r="B49" s="218" t="s">
        <v>577</v>
      </c>
      <c r="C49" s="246"/>
      <c r="D49" s="233">
        <v>-896178</v>
      </c>
      <c r="E49" s="233">
        <v>-934774</v>
      </c>
      <c r="F49" s="233">
        <v>-914084</v>
      </c>
      <c r="G49" s="233">
        <v>-887106</v>
      </c>
      <c r="H49" s="233">
        <v>-853133</v>
      </c>
      <c r="I49" s="233">
        <v>-907332</v>
      </c>
      <c r="J49" s="233">
        <v>-971613</v>
      </c>
      <c r="K49" s="233">
        <v>-1019385</v>
      </c>
      <c r="L49" s="233">
        <v>-1116055</v>
      </c>
      <c r="M49" s="233">
        <v>-1184311.6070999999</v>
      </c>
      <c r="N49" s="233">
        <v>-1184655.1654100001</v>
      </c>
      <c r="O49" s="233">
        <v>-1218372.9158399999</v>
      </c>
      <c r="P49" s="233">
        <v>-1289013.3679599999</v>
      </c>
      <c r="Q49" s="233">
        <v>-1324944.59415</v>
      </c>
      <c r="R49" s="233">
        <v>-1411140.9447999999</v>
      </c>
      <c r="S49" s="233">
        <v>-1401696.9910200001</v>
      </c>
      <c r="T49" s="233">
        <v>-1433286.2977799999</v>
      </c>
      <c r="U49" s="233">
        <v>-1360015.4617400002</v>
      </c>
    </row>
    <row r="50" spans="1:21" s="172" customFormat="1" ht="12.5" thickBot="1">
      <c r="A50" s="218" t="s">
        <v>578</v>
      </c>
      <c r="B50" s="218" t="s">
        <v>578</v>
      </c>
      <c r="C50" s="246"/>
      <c r="D50" s="233">
        <v>0</v>
      </c>
      <c r="E50" s="233">
        <v>0</v>
      </c>
      <c r="F50" s="233">
        <v>0</v>
      </c>
      <c r="G50" s="233">
        <v>1447</v>
      </c>
      <c r="H50" s="233">
        <v>3307</v>
      </c>
      <c r="I50" s="233">
        <v>-1700</v>
      </c>
      <c r="J50" s="233">
        <v>-11311</v>
      </c>
      <c r="K50" s="233">
        <v>-45236</v>
      </c>
      <c r="L50" s="233">
        <v>-45914</v>
      </c>
      <c r="M50" s="233">
        <v>-47659.071000000054</v>
      </c>
      <c r="N50" s="233">
        <v>-39473.796149999915</v>
      </c>
      <c r="O50" s="233">
        <v>-26607.127850000012</v>
      </c>
      <c r="P50" s="233">
        <v>-30562.737959999991</v>
      </c>
      <c r="Q50" s="233">
        <v>-23144.300730000061</v>
      </c>
      <c r="R50" s="233">
        <v>-30309.125640000115</v>
      </c>
      <c r="S50" s="233">
        <v>-15487.880490000032</v>
      </c>
      <c r="T50" s="233">
        <v>-37125.295070000124</v>
      </c>
      <c r="U50" s="233">
        <v>-14492.270759999941</v>
      </c>
    </row>
    <row r="51" spans="1:21" s="172" customFormat="1">
      <c r="A51" s="225" t="s">
        <v>68</v>
      </c>
      <c r="B51" s="225" t="s">
        <v>579</v>
      </c>
      <c r="C51" s="247"/>
      <c r="D51" s="236">
        <v>-1070893</v>
      </c>
      <c r="E51" s="236">
        <v>-1111115</v>
      </c>
      <c r="F51" s="236">
        <v>-1089021</v>
      </c>
      <c r="G51" s="236">
        <v>-1080697</v>
      </c>
      <c r="H51" s="236">
        <v>-1042455</v>
      </c>
      <c r="I51" s="236">
        <v>-1177424</v>
      </c>
      <c r="J51" s="236">
        <v>-1264875</v>
      </c>
      <c r="K51" s="277">
        <f t="shared" ref="K51:P51" si="9">SUM(K47:K50)</f>
        <v>-1358991</v>
      </c>
      <c r="L51" s="277">
        <f t="shared" si="9"/>
        <v>-1467313</v>
      </c>
      <c r="M51" s="277">
        <f t="shared" si="9"/>
        <v>-1599418.9693399998</v>
      </c>
      <c r="N51" s="277">
        <f t="shared" si="9"/>
        <v>-1689665</v>
      </c>
      <c r="O51" s="277">
        <f t="shared" si="9"/>
        <v>-1741918</v>
      </c>
      <c r="P51" s="277">
        <f t="shared" si="9"/>
        <v>-1757805</v>
      </c>
      <c r="Q51" s="277">
        <f>SUM(Q47:Q50)</f>
        <v>-1796089</v>
      </c>
      <c r="R51" s="277">
        <f>SUM(R47:R50)</f>
        <v>-1934363.5000000002</v>
      </c>
      <c r="S51" s="277">
        <f>SUM(S47:S50)</f>
        <v>-1891798.0000000002</v>
      </c>
      <c r="T51" s="277">
        <f>SUM(T47:T50)</f>
        <v>-1928242.0000000002</v>
      </c>
      <c r="U51" s="277">
        <f>SUM(U47:U50)</f>
        <v>-1855663.0000000002</v>
      </c>
    </row>
    <row r="52" spans="1:21" s="226" customFormat="1">
      <c r="A52" s="230"/>
      <c r="B52" s="230"/>
      <c r="C52" s="227"/>
      <c r="D52" s="228"/>
      <c r="E52" s="228"/>
      <c r="F52" s="228"/>
      <c r="H52" s="231"/>
      <c r="I52" s="231"/>
      <c r="J52" s="231"/>
      <c r="Q52" s="172"/>
      <c r="R52" s="172"/>
      <c r="S52" s="172"/>
      <c r="T52" s="172"/>
      <c r="U52" s="172"/>
    </row>
    <row r="54" spans="1:21" s="172" customFormat="1">
      <c r="K54" s="238"/>
      <c r="L54" s="238"/>
      <c r="M54" s="238"/>
      <c r="N54" s="238"/>
      <c r="O54" s="238"/>
      <c r="P54" s="238"/>
      <c r="Q54" s="238"/>
      <c r="R54" s="238"/>
      <c r="S54" s="238"/>
      <c r="T54" s="238"/>
      <c r="U54" s="238"/>
    </row>
    <row r="55" spans="1:21" s="172" customFormat="1">
      <c r="K55" s="238"/>
      <c r="L55" s="238"/>
      <c r="M55" s="238"/>
      <c r="N55" s="238"/>
      <c r="O55" s="238"/>
      <c r="P55" s="238"/>
      <c r="Q55" s="238"/>
      <c r="R55" s="238"/>
      <c r="S55" s="238"/>
      <c r="T55" s="238"/>
      <c r="U55" s="238"/>
    </row>
    <row r="56" spans="1:21" s="172" customFormat="1">
      <c r="K56" s="238"/>
      <c r="L56" s="238"/>
      <c r="M56" s="238"/>
      <c r="N56" s="238"/>
      <c r="O56" s="238"/>
      <c r="P56" s="238"/>
      <c r="Q56" s="238"/>
      <c r="R56" s="238"/>
      <c r="S56" s="238"/>
      <c r="T56" s="238"/>
      <c r="U56" s="238"/>
    </row>
    <row r="58" spans="1:21" s="172" customFormat="1">
      <c r="K58" s="238"/>
      <c r="L58" s="238"/>
      <c r="M58" s="238"/>
      <c r="N58" s="238"/>
      <c r="O58" s="238"/>
      <c r="P58" s="238"/>
      <c r="Q58" s="238"/>
      <c r="R58" s="238"/>
      <c r="S58" s="238"/>
      <c r="T58" s="238"/>
      <c r="U58" s="238"/>
    </row>
    <row r="59" spans="1:21" s="172" customFormat="1">
      <c r="K59" s="238"/>
      <c r="L59" s="238"/>
      <c r="M59" s="238"/>
      <c r="N59" s="238"/>
      <c r="O59" s="238"/>
      <c r="P59" s="238"/>
      <c r="Q59" s="238"/>
      <c r="R59" s="238"/>
      <c r="S59" s="238"/>
      <c r="T59" s="238"/>
      <c r="U59" s="238"/>
    </row>
    <row r="60" spans="1:21" s="172" customFormat="1"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</row>
    <row r="61" spans="1:21">
      <c r="Q61" s="224"/>
      <c r="R61" s="224"/>
      <c r="S61" s="224"/>
      <c r="T61" s="224"/>
      <c r="U61" s="224"/>
    </row>
  </sheetData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8"/>
  <sheetViews>
    <sheetView zoomScale="90" zoomScaleNormal="90" workbookViewId="0">
      <pane xSplit="2" ySplit="3" topLeftCell="S13" activePane="bottomRight" state="frozenSplit"/>
      <selection pane="topRight" activeCell="B1" sqref="B1"/>
      <selection pane="bottomLeft" activeCell="A4" sqref="A4"/>
      <selection pane="bottomRight" activeCell="A2" sqref="A2"/>
    </sheetView>
  </sheetViews>
  <sheetFormatPr defaultColWidth="27.83203125" defaultRowHeight="12"/>
  <cols>
    <col min="1" max="1" width="35.58203125" style="172" customWidth="1"/>
    <col min="2" max="2" width="35.25" style="172" customWidth="1"/>
    <col min="3" max="3" width="15.58203125" style="172" customWidth="1"/>
    <col min="4" max="17" width="12.75" style="172" customWidth="1"/>
    <col min="18" max="18" width="12.83203125" style="172" customWidth="1"/>
    <col min="19" max="19" width="13.4140625" style="172" customWidth="1"/>
    <col min="20" max="20" width="14.1640625" style="172" customWidth="1"/>
    <col min="21" max="21" width="12.83203125" style="172" customWidth="1"/>
    <col min="22" max="16384" width="27.83203125" style="172"/>
  </cols>
  <sheetData>
    <row r="1" spans="1:21" ht="15.5">
      <c r="A1" s="173" t="s">
        <v>450</v>
      </c>
    </row>
    <row r="2" spans="1:21" ht="15.5">
      <c r="A2" s="83" t="s">
        <v>472</v>
      </c>
      <c r="O2" s="301"/>
      <c r="P2" s="301"/>
    </row>
    <row r="3" spans="1:21" s="190" customFormat="1">
      <c r="A3" s="282" t="s">
        <v>601</v>
      </c>
      <c r="B3" s="282" t="s">
        <v>602</v>
      </c>
      <c r="C3" s="271" t="s">
        <v>284</v>
      </c>
      <c r="D3" s="271" t="s">
        <v>314</v>
      </c>
      <c r="E3" s="271" t="s">
        <v>365</v>
      </c>
      <c r="F3" s="271" t="s">
        <v>406</v>
      </c>
      <c r="G3" s="271" t="s">
        <v>409</v>
      </c>
      <c r="H3" s="271" t="s">
        <v>413</v>
      </c>
      <c r="I3" s="271" t="s">
        <v>424</v>
      </c>
      <c r="J3" s="271" t="s">
        <v>429</v>
      </c>
      <c r="K3" s="271" t="s">
        <v>435</v>
      </c>
      <c r="L3" s="271" t="s">
        <v>511</v>
      </c>
      <c r="M3" s="271" t="s">
        <v>589</v>
      </c>
      <c r="N3" s="271" t="s">
        <v>595</v>
      </c>
      <c r="O3" s="271" t="s">
        <v>603</v>
      </c>
      <c r="P3" s="271" t="s">
        <v>613</v>
      </c>
      <c r="Q3" s="271" t="s">
        <v>627</v>
      </c>
      <c r="R3" s="271" t="s">
        <v>631</v>
      </c>
      <c r="S3" s="271" t="s">
        <v>638</v>
      </c>
      <c r="T3" s="271" t="s">
        <v>644</v>
      </c>
      <c r="U3" s="271" t="s">
        <v>647</v>
      </c>
    </row>
    <row r="4" spans="1:21" s="1" customFormat="1" ht="12.5" thickBot="1">
      <c r="A4" s="180" t="s">
        <v>437</v>
      </c>
      <c r="B4" s="180" t="s">
        <v>451</v>
      </c>
      <c r="C4" s="181">
        <v>32693.599999999999</v>
      </c>
      <c r="D4" s="181">
        <v>33070.344070272658</v>
      </c>
      <c r="E4" s="181">
        <v>34268.699999999997</v>
      </c>
      <c r="F4" s="181">
        <v>34822.1</v>
      </c>
      <c r="G4" s="181">
        <v>36635.5</v>
      </c>
      <c r="H4" s="181">
        <v>37735.199999999997</v>
      </c>
      <c r="I4" s="181">
        <v>47048.1</v>
      </c>
      <c r="J4" s="181">
        <v>48316.7</v>
      </c>
      <c r="K4" s="181">
        <v>48124.6</v>
      </c>
      <c r="L4" s="181">
        <v>50675</v>
      </c>
      <c r="M4" s="181">
        <v>50007.1</v>
      </c>
      <c r="N4" s="181">
        <v>50305.396430775698</v>
      </c>
      <c r="O4" s="181">
        <v>51138</v>
      </c>
      <c r="P4" s="181">
        <v>50078.1</v>
      </c>
      <c r="Q4" s="181">
        <v>50677.5</v>
      </c>
      <c r="R4" s="181">
        <v>50220.2</v>
      </c>
      <c r="S4" s="181">
        <v>49442.750453374232</v>
      </c>
      <c r="T4" s="181">
        <v>48956.911808171331</v>
      </c>
      <c r="U4" s="181">
        <v>49819.7</v>
      </c>
    </row>
    <row r="5" spans="1:21" s="1" customFormat="1" ht="12.5" thickBot="1">
      <c r="A5" s="180" t="s">
        <v>438</v>
      </c>
      <c r="B5" s="180" t="s">
        <v>452</v>
      </c>
      <c r="C5" s="181">
        <v>2615.5</v>
      </c>
      <c r="D5" s="181">
        <v>2645.6275256218123</v>
      </c>
      <c r="E5" s="181">
        <v>2741.5</v>
      </c>
      <c r="F5" s="181">
        <v>2785.8</v>
      </c>
      <c r="G5" s="181">
        <v>2930.8</v>
      </c>
      <c r="H5" s="181">
        <v>3018.9</v>
      </c>
      <c r="I5" s="181">
        <v>3763.8</v>
      </c>
      <c r="J5" s="181">
        <v>3865.4</v>
      </c>
      <c r="K5" s="181">
        <v>3849.97</v>
      </c>
      <c r="L5" s="181">
        <v>4054</v>
      </c>
      <c r="M5" s="181">
        <v>4000.6</v>
      </c>
      <c r="N5" s="181">
        <v>4024.43171446206</v>
      </c>
      <c r="O5" s="181">
        <v>4091</v>
      </c>
      <c r="P5" s="181">
        <v>4006.2</v>
      </c>
      <c r="Q5" s="181">
        <v>4054.1</v>
      </c>
      <c r="R5" s="181">
        <v>4017.6</v>
      </c>
      <c r="S5" s="181">
        <v>3955.420036269938</v>
      </c>
      <c r="T5" s="181">
        <v>3916.5529446537066</v>
      </c>
      <c r="U5" s="181">
        <v>3985.6</v>
      </c>
    </row>
    <row r="6" spans="1:21" s="1" customFormat="1" ht="24.5" thickBot="1">
      <c r="A6" s="182" t="s">
        <v>468</v>
      </c>
      <c r="B6" s="183" t="s">
        <v>453</v>
      </c>
      <c r="C6" s="181">
        <v>2297.6999999999998</v>
      </c>
      <c r="D6" s="181">
        <v>2299.2098793376181</v>
      </c>
      <c r="E6" s="181">
        <v>2399</v>
      </c>
      <c r="F6" s="181">
        <v>2444.6999999999998</v>
      </c>
      <c r="G6" s="181">
        <v>2593.9</v>
      </c>
      <c r="H6" s="181">
        <v>2656.6</v>
      </c>
      <c r="I6" s="181">
        <v>3324.5</v>
      </c>
      <c r="J6" s="181">
        <v>3420.3</v>
      </c>
      <c r="K6" s="181">
        <v>3495.2</v>
      </c>
      <c r="L6" s="181">
        <v>3642</v>
      </c>
      <c r="M6" s="181">
        <v>3584.5</v>
      </c>
      <c r="N6" s="181">
        <v>3608.43859040082</v>
      </c>
      <c r="O6" s="181">
        <v>3677</v>
      </c>
      <c r="P6" s="181">
        <v>3539.1</v>
      </c>
      <c r="Q6" s="181">
        <v>3584.5</v>
      </c>
      <c r="R6" s="181">
        <v>3537</v>
      </c>
      <c r="S6" s="181">
        <v>3955.420036269938</v>
      </c>
      <c r="T6" s="181">
        <v>3401.2</v>
      </c>
      <c r="U6" s="181">
        <v>3473.1</v>
      </c>
    </row>
    <row r="7" spans="1:21" s="1" customFormat="1" ht="12.5" thickBot="1">
      <c r="A7" s="182" t="s">
        <v>469</v>
      </c>
      <c r="B7" s="183" t="s">
        <v>454</v>
      </c>
      <c r="C7" s="181">
        <v>18.3</v>
      </c>
      <c r="D7" s="181">
        <v>31.735184475165024</v>
      </c>
      <c r="E7" s="181">
        <v>27.9</v>
      </c>
      <c r="F7" s="181">
        <v>27.1</v>
      </c>
      <c r="G7" s="181">
        <v>20.3</v>
      </c>
      <c r="H7" s="181">
        <v>22.6</v>
      </c>
      <c r="I7" s="181">
        <v>19.899999999999999</v>
      </c>
      <c r="J7" s="181">
        <v>24.3</v>
      </c>
      <c r="K7" s="181">
        <v>24.2</v>
      </c>
      <c r="L7" s="181">
        <v>24.3</v>
      </c>
      <c r="M7" s="181">
        <v>28.8</v>
      </c>
      <c r="N7" s="181">
        <v>28.3876186</v>
      </c>
      <c r="O7" s="181">
        <v>26.7</v>
      </c>
      <c r="P7" s="181">
        <v>29.7</v>
      </c>
      <c r="Q7" s="181">
        <v>24.6</v>
      </c>
      <c r="R7" s="181">
        <v>33.4</v>
      </c>
      <c r="S7" s="181">
        <v>32.309276297272781</v>
      </c>
      <c r="T7" s="181">
        <v>32.4</v>
      </c>
      <c r="U7" s="181">
        <v>28</v>
      </c>
    </row>
    <row r="8" spans="1:21" s="1" customFormat="1" ht="12.5" thickBot="1">
      <c r="A8" s="182" t="s">
        <v>470</v>
      </c>
      <c r="B8" s="183" t="s">
        <v>455</v>
      </c>
      <c r="C8" s="181">
        <v>293.39999999999998</v>
      </c>
      <c r="D8" s="181">
        <v>310.79165313184666</v>
      </c>
      <c r="E8" s="181">
        <v>310.8</v>
      </c>
      <c r="F8" s="181">
        <v>310.8</v>
      </c>
      <c r="G8" s="181">
        <v>313.10000000000002</v>
      </c>
      <c r="H8" s="181">
        <v>336.9</v>
      </c>
      <c r="I8" s="181">
        <v>415.9</v>
      </c>
      <c r="J8" s="181">
        <v>415.9</v>
      </c>
      <c r="K8" s="181">
        <v>326.89999999999998</v>
      </c>
      <c r="L8" s="181">
        <v>382.5</v>
      </c>
      <c r="M8" s="181">
        <v>382.6</v>
      </c>
      <c r="N8" s="181">
        <v>382.635257016926</v>
      </c>
      <c r="O8" s="181">
        <v>382.6</v>
      </c>
      <c r="P8" s="181">
        <v>433</v>
      </c>
      <c r="Q8" s="181">
        <v>433</v>
      </c>
      <c r="R8" s="181">
        <v>433</v>
      </c>
      <c r="S8" s="181">
        <v>432.99958922268809</v>
      </c>
      <c r="T8" s="181">
        <v>474.5</v>
      </c>
      <c r="U8" s="181">
        <v>474.5</v>
      </c>
    </row>
    <row r="9" spans="1:21" s="1" customFormat="1" ht="24.5" thickBot="1">
      <c r="A9" s="182" t="s">
        <v>471</v>
      </c>
      <c r="B9" s="183" t="s">
        <v>456</v>
      </c>
      <c r="C9" s="181">
        <v>6.1</v>
      </c>
      <c r="D9" s="181">
        <v>3.8908086771827795</v>
      </c>
      <c r="E9" s="181">
        <v>3.8</v>
      </c>
      <c r="F9" s="181">
        <v>3.2</v>
      </c>
      <c r="G9" s="181">
        <v>3.5</v>
      </c>
      <c r="H9" s="181">
        <v>2.8</v>
      </c>
      <c r="I9" s="181">
        <v>3.6</v>
      </c>
      <c r="J9" s="181">
        <v>4.9000000000000004</v>
      </c>
      <c r="K9" s="181">
        <v>3.6</v>
      </c>
      <c r="L9" s="181">
        <v>5.2</v>
      </c>
      <c r="M9" s="181">
        <v>4.5999999999999996</v>
      </c>
      <c r="N9" s="181">
        <v>4.9702484443097399</v>
      </c>
      <c r="O9" s="181">
        <v>4.8</v>
      </c>
      <c r="P9" s="181">
        <v>4.5</v>
      </c>
      <c r="Q9" s="181">
        <v>12</v>
      </c>
      <c r="R9" s="181">
        <v>14.2</v>
      </c>
      <c r="S9" s="181">
        <v>10.281745210401398</v>
      </c>
      <c r="T9" s="181">
        <v>8.4</v>
      </c>
      <c r="U9" s="181">
        <v>10</v>
      </c>
    </row>
    <row r="10" spans="1:21" s="1" customFormat="1" ht="12.5" thickBot="1">
      <c r="A10" s="180" t="s">
        <v>439</v>
      </c>
      <c r="B10" s="180" t="s">
        <v>457</v>
      </c>
      <c r="C10" s="184">
        <v>7190.6</v>
      </c>
      <c r="D10" s="184">
        <v>8079.8864174890268</v>
      </c>
      <c r="E10" s="181">
        <v>8009.6</v>
      </c>
      <c r="F10" s="181">
        <v>7978.2</v>
      </c>
      <c r="G10" s="181">
        <v>7943</v>
      </c>
      <c r="H10" s="181">
        <v>9658.9</v>
      </c>
      <c r="I10" s="181">
        <v>9470.5</v>
      </c>
      <c r="J10" s="181">
        <v>9778.7999999999993</v>
      </c>
      <c r="K10" s="181">
        <v>9668.5</v>
      </c>
      <c r="L10" s="181">
        <v>9896.7999999999993</v>
      </c>
      <c r="M10" s="181">
        <v>10012.799999999999</v>
      </c>
      <c r="N10" s="181">
        <v>10070.6719428709</v>
      </c>
      <c r="O10" s="181">
        <v>9969</v>
      </c>
      <c r="P10" s="181">
        <v>9701</v>
      </c>
      <c r="Q10" s="181">
        <v>9451.1</v>
      </c>
      <c r="R10" s="181">
        <v>9123.7999999999993</v>
      </c>
      <c r="S10" s="181">
        <v>8436.3267239424258</v>
      </c>
      <c r="T10" s="181">
        <v>7824.7</v>
      </c>
      <c r="U10" s="181">
        <v>7570.1</v>
      </c>
    </row>
    <row r="11" spans="1:21" s="1" customFormat="1" ht="12.5" thickBot="1">
      <c r="A11" s="185" t="s">
        <v>440</v>
      </c>
      <c r="B11" s="185" t="s">
        <v>458</v>
      </c>
      <c r="C11" s="184">
        <v>6548.8</v>
      </c>
      <c r="D11" s="184">
        <v>7379.8864174890268</v>
      </c>
      <c r="E11" s="181">
        <v>7309.6</v>
      </c>
      <c r="F11" s="181">
        <v>7278.2</v>
      </c>
      <c r="G11" s="181">
        <v>7243</v>
      </c>
      <c r="H11" s="181">
        <v>8128</v>
      </c>
      <c r="I11" s="181">
        <v>7940.5</v>
      </c>
      <c r="J11" s="181">
        <v>8248.7999999999993</v>
      </c>
      <c r="K11" s="181">
        <v>8138.5</v>
      </c>
      <c r="L11" s="181">
        <v>8366.7999999999993</v>
      </c>
      <c r="M11" s="181">
        <v>8482.7999999999993</v>
      </c>
      <c r="N11" s="181">
        <v>8540.6719428708602</v>
      </c>
      <c r="O11" s="181">
        <v>8439</v>
      </c>
      <c r="P11" s="181">
        <v>8171</v>
      </c>
      <c r="Q11" s="181">
        <v>7921.1</v>
      </c>
      <c r="R11" s="181">
        <v>7593.8</v>
      </c>
      <c r="S11" s="181">
        <v>6906.3267239424249</v>
      </c>
      <c r="T11" s="181">
        <v>6294.7</v>
      </c>
      <c r="U11" s="181">
        <v>6040.1</v>
      </c>
    </row>
    <row r="12" spans="1:21" s="1" customFormat="1" ht="12.5" thickBot="1">
      <c r="A12" s="180" t="s">
        <v>441</v>
      </c>
      <c r="B12" s="180" t="s">
        <v>459</v>
      </c>
      <c r="C12" s="184">
        <v>641.79999999999995</v>
      </c>
      <c r="D12" s="184">
        <v>700</v>
      </c>
      <c r="E12" s="181">
        <v>700</v>
      </c>
      <c r="F12" s="181">
        <v>700</v>
      </c>
      <c r="G12" s="181">
        <v>700</v>
      </c>
      <c r="H12" s="181">
        <v>1530</v>
      </c>
      <c r="I12" s="181">
        <v>1530</v>
      </c>
      <c r="J12" s="181">
        <v>1530</v>
      </c>
      <c r="K12" s="181">
        <v>1530</v>
      </c>
      <c r="L12" s="181">
        <v>1530</v>
      </c>
      <c r="M12" s="181">
        <v>1530</v>
      </c>
      <c r="N12" s="181">
        <v>1530</v>
      </c>
      <c r="O12" s="181">
        <v>1530</v>
      </c>
      <c r="P12" s="181">
        <v>1530</v>
      </c>
      <c r="Q12" s="181">
        <v>1530</v>
      </c>
      <c r="R12" s="181" t="s">
        <v>632</v>
      </c>
      <c r="S12" s="181">
        <v>1530</v>
      </c>
      <c r="T12" s="181">
        <v>1530</v>
      </c>
      <c r="U12" s="181">
        <v>1530</v>
      </c>
    </row>
    <row r="13" spans="1:21" s="1" customFormat="1" ht="12.5" thickBot="1">
      <c r="A13" s="186" t="s">
        <v>442</v>
      </c>
      <c r="B13" s="186" t="s">
        <v>460</v>
      </c>
      <c r="C13" s="203">
        <v>0.21990000000000001</v>
      </c>
      <c r="D13" s="203">
        <v>0.24429999999999999</v>
      </c>
      <c r="E13" s="203">
        <v>0.23369999999999999</v>
      </c>
      <c r="F13" s="203">
        <v>0.2291</v>
      </c>
      <c r="G13" s="203">
        <v>0.21679999999999999</v>
      </c>
      <c r="H13" s="203">
        <v>0.25600000000000001</v>
      </c>
      <c r="I13" s="203">
        <v>0.20130000000000001</v>
      </c>
      <c r="J13" s="203">
        <v>0.2024</v>
      </c>
      <c r="K13" s="203">
        <v>0.2009</v>
      </c>
      <c r="L13" s="203">
        <v>0.1953</v>
      </c>
      <c r="M13" s="203">
        <v>0.20019999999999999</v>
      </c>
      <c r="N13" s="203">
        <v>0.20019999999999999</v>
      </c>
      <c r="O13" s="203">
        <v>0.19489999999999999</v>
      </c>
      <c r="P13" s="203">
        <v>0.19370000000000001</v>
      </c>
      <c r="Q13" s="203">
        <v>0.1865</v>
      </c>
      <c r="R13" s="203">
        <v>0.1817</v>
      </c>
      <c r="S13" s="203">
        <v>0.1706</v>
      </c>
      <c r="T13" s="203">
        <v>0.1598</v>
      </c>
      <c r="U13" s="203">
        <v>0.15190000000000001</v>
      </c>
    </row>
    <row r="14" spans="1:21" s="1" customFormat="1" ht="12.5" thickBot="1">
      <c r="A14" s="180" t="s">
        <v>443</v>
      </c>
      <c r="B14" s="180" t="s">
        <v>461</v>
      </c>
      <c r="C14" s="204">
        <v>0.18909999999999999</v>
      </c>
      <c r="D14" s="204">
        <v>0.18540000000000001</v>
      </c>
      <c r="E14" s="205">
        <v>0.18540000000000001</v>
      </c>
      <c r="F14" s="205">
        <v>0.18285000000000001</v>
      </c>
      <c r="G14" s="205">
        <v>0.1915</v>
      </c>
      <c r="H14" s="205">
        <v>0.19769999999999999</v>
      </c>
      <c r="I14" s="205">
        <v>0.19769999999999999</v>
      </c>
      <c r="J14" s="205">
        <v>0.19769999999999999</v>
      </c>
      <c r="K14" s="205">
        <v>0.1837</v>
      </c>
      <c r="L14" s="205">
        <v>0.1537</v>
      </c>
      <c r="M14" s="205">
        <v>0.1537</v>
      </c>
      <c r="N14" s="205">
        <v>0.1537</v>
      </c>
      <c r="O14" s="205">
        <v>0.14099999999999999</v>
      </c>
      <c r="P14" s="205">
        <v>0.14099999999999999</v>
      </c>
      <c r="Q14" s="205">
        <v>0.14099999999999999</v>
      </c>
      <c r="R14" s="205">
        <v>0.14099999999999999</v>
      </c>
      <c r="S14" s="205">
        <v>0.13539999999999999</v>
      </c>
      <c r="T14" s="205">
        <v>0.13539999999999999</v>
      </c>
      <c r="U14" s="205">
        <v>0.13539999999999999</v>
      </c>
    </row>
    <row r="15" spans="1:21" s="1" customFormat="1" ht="24.5" thickBot="1">
      <c r="A15" s="180" t="s">
        <v>444</v>
      </c>
      <c r="B15" s="180" t="s">
        <v>462</v>
      </c>
      <c r="C15" s="206" t="s">
        <v>514</v>
      </c>
      <c r="D15" s="206" t="s">
        <v>515</v>
      </c>
      <c r="E15" s="207" t="s">
        <v>516</v>
      </c>
      <c r="F15" s="207" t="s">
        <v>517</v>
      </c>
      <c r="G15" s="207" t="s">
        <v>518</v>
      </c>
      <c r="H15" s="207" t="s">
        <v>519</v>
      </c>
      <c r="I15" s="207" t="s">
        <v>520</v>
      </c>
      <c r="J15" s="207" t="s">
        <v>521</v>
      </c>
      <c r="K15" s="207" t="s">
        <v>522</v>
      </c>
      <c r="L15" s="207" t="s">
        <v>523</v>
      </c>
      <c r="M15" s="207" t="s">
        <v>592</v>
      </c>
      <c r="N15" s="207" t="s">
        <v>592</v>
      </c>
      <c r="O15" s="207" t="s">
        <v>604</v>
      </c>
      <c r="P15" s="207" t="s">
        <v>614</v>
      </c>
      <c r="Q15" s="207" t="s">
        <v>628</v>
      </c>
      <c r="R15" s="207" t="s">
        <v>633</v>
      </c>
      <c r="S15" s="207" t="s">
        <v>640</v>
      </c>
      <c r="T15" s="207" t="s">
        <v>645</v>
      </c>
      <c r="U15" s="207" t="s">
        <v>648</v>
      </c>
    </row>
    <row r="16" spans="1:21" s="1" customFormat="1" ht="12.5" thickBot="1">
      <c r="A16" s="186" t="s">
        <v>445</v>
      </c>
      <c r="B16" s="186" t="s">
        <v>463</v>
      </c>
      <c r="C16" s="203">
        <v>0.20030000000000001</v>
      </c>
      <c r="D16" s="203">
        <v>0.22320000000000001</v>
      </c>
      <c r="E16" s="203">
        <v>0.21329999999999999</v>
      </c>
      <c r="F16" s="203">
        <v>0.20899999999999999</v>
      </c>
      <c r="G16" s="203">
        <v>0.19769999999999999</v>
      </c>
      <c r="H16" s="203">
        <v>0.21540000000000001</v>
      </c>
      <c r="I16" s="203">
        <v>0.16880000000000001</v>
      </c>
      <c r="J16" s="203">
        <v>0.17069999999999999</v>
      </c>
      <c r="K16" s="203">
        <v>0.1691</v>
      </c>
      <c r="L16" s="203">
        <v>0.1651</v>
      </c>
      <c r="M16" s="203">
        <v>0.1696</v>
      </c>
      <c r="N16" s="203">
        <v>0.16980000000000001</v>
      </c>
      <c r="O16" s="203">
        <v>0.16500000000000001</v>
      </c>
      <c r="P16" s="203">
        <v>0.16320000000000001</v>
      </c>
      <c r="Q16" s="203">
        <v>0.15629999999999999</v>
      </c>
      <c r="R16" s="203">
        <v>0.1512</v>
      </c>
      <c r="S16" s="203">
        <v>0.13969999999999999</v>
      </c>
      <c r="T16" s="203">
        <v>0.12859999999999999</v>
      </c>
      <c r="U16" s="203">
        <v>0.1212</v>
      </c>
    </row>
    <row r="17" spans="1:21" s="1" customFormat="1" ht="12.5" thickBot="1">
      <c r="A17" s="180" t="s">
        <v>443</v>
      </c>
      <c r="B17" s="180" t="s">
        <v>461</v>
      </c>
      <c r="C17" s="204">
        <v>0.14560000000000001</v>
      </c>
      <c r="D17" s="204">
        <v>0.15179999999999999</v>
      </c>
      <c r="E17" s="205">
        <v>0.15179999999999999</v>
      </c>
      <c r="F17" s="205">
        <v>0.14935000000000001</v>
      </c>
      <c r="G17" s="205">
        <v>0.15579999999999999</v>
      </c>
      <c r="H17" s="205">
        <v>0.16200000000000001</v>
      </c>
      <c r="I17" s="205">
        <v>0.16200000000000001</v>
      </c>
      <c r="J17" s="205">
        <v>0.16200000000000001</v>
      </c>
      <c r="K17" s="205">
        <v>0.1515</v>
      </c>
      <c r="L17" s="205">
        <v>0.1215</v>
      </c>
      <c r="M17" s="205">
        <v>0.1215</v>
      </c>
      <c r="N17" s="205">
        <v>0.1215</v>
      </c>
      <c r="O17" s="205">
        <v>0.11269999999999999</v>
      </c>
      <c r="P17" s="205">
        <v>0.11269999999999999</v>
      </c>
      <c r="Q17" s="205">
        <v>0.11269999999999999</v>
      </c>
      <c r="R17" s="205">
        <v>0.11269999999999999</v>
      </c>
      <c r="S17" s="205">
        <v>0.1084</v>
      </c>
      <c r="T17" s="205">
        <v>0.1084</v>
      </c>
      <c r="U17" s="205">
        <v>0.1084</v>
      </c>
    </row>
    <row r="18" spans="1:21" s="1" customFormat="1" ht="24.5" thickBot="1">
      <c r="A18" s="180" t="s">
        <v>446</v>
      </c>
      <c r="B18" s="180" t="s">
        <v>464</v>
      </c>
      <c r="C18" s="206" t="s">
        <v>524</v>
      </c>
      <c r="D18" s="206" t="s">
        <v>525</v>
      </c>
      <c r="E18" s="207" t="s">
        <v>526</v>
      </c>
      <c r="F18" s="207" t="s">
        <v>527</v>
      </c>
      <c r="G18" s="207" t="s">
        <v>528</v>
      </c>
      <c r="H18" s="207" t="s">
        <v>529</v>
      </c>
      <c r="I18" s="207" t="s">
        <v>530</v>
      </c>
      <c r="J18" s="207" t="s">
        <v>531</v>
      </c>
      <c r="K18" s="207" t="s">
        <v>532</v>
      </c>
      <c r="L18" s="207" t="s">
        <v>533</v>
      </c>
      <c r="M18" s="207" t="s">
        <v>593</v>
      </c>
      <c r="N18" s="207" t="s">
        <v>599</v>
      </c>
      <c r="O18" s="207" t="s">
        <v>605</v>
      </c>
      <c r="P18" s="207" t="s">
        <v>615</v>
      </c>
      <c r="Q18" s="207" t="s">
        <v>533</v>
      </c>
      <c r="R18" s="207" t="s">
        <v>634</v>
      </c>
      <c r="S18" s="207" t="s">
        <v>641</v>
      </c>
      <c r="T18" s="207" t="s">
        <v>646</v>
      </c>
      <c r="U18" s="207" t="s">
        <v>649</v>
      </c>
    </row>
    <row r="19" spans="1:21" s="1" customFormat="1" ht="24.5" thickBot="1">
      <c r="A19" s="186" t="s">
        <v>447</v>
      </c>
      <c r="B19" s="186" t="s">
        <v>465</v>
      </c>
      <c r="C19" s="203">
        <v>0.20030000000000001</v>
      </c>
      <c r="D19" s="203">
        <v>0.22320000000000001</v>
      </c>
      <c r="E19" s="203">
        <v>0.21329999999999999</v>
      </c>
      <c r="F19" s="203">
        <v>0.20899999999999999</v>
      </c>
      <c r="G19" s="203">
        <v>0.19769999999999999</v>
      </c>
      <c r="H19" s="203">
        <v>0.21540000000000001</v>
      </c>
      <c r="I19" s="203">
        <v>0.16880000000000001</v>
      </c>
      <c r="J19" s="203">
        <v>0.17069999999999999</v>
      </c>
      <c r="K19" s="203">
        <v>0.1691</v>
      </c>
      <c r="L19" s="203">
        <v>0.1651</v>
      </c>
      <c r="M19" s="203">
        <v>0.1696</v>
      </c>
      <c r="N19" s="203">
        <v>0.16980000000000001</v>
      </c>
      <c r="O19" s="203">
        <v>0.16500000000000001</v>
      </c>
      <c r="P19" s="203">
        <v>0.16320000000000001</v>
      </c>
      <c r="Q19" s="203">
        <v>0.15629999999999999</v>
      </c>
      <c r="R19" s="203">
        <v>0.1512</v>
      </c>
      <c r="S19" s="203">
        <v>0.13969999999999999</v>
      </c>
      <c r="T19" s="203">
        <v>0.12859999999999999</v>
      </c>
      <c r="U19" s="203">
        <v>0.1212</v>
      </c>
    </row>
    <row r="20" spans="1:21" s="1" customFormat="1" ht="12.5" thickBot="1">
      <c r="A20" s="180" t="s">
        <v>443</v>
      </c>
      <c r="B20" s="180" t="s">
        <v>461</v>
      </c>
      <c r="C20" s="205">
        <v>0.1353</v>
      </c>
      <c r="D20" s="205">
        <v>0.12659999999999999</v>
      </c>
      <c r="E20" s="205">
        <v>0.12659999999999999</v>
      </c>
      <c r="F20" s="205">
        <v>0.12404999999999999</v>
      </c>
      <c r="G20" s="205">
        <v>0.12889999999999999</v>
      </c>
      <c r="H20" s="205">
        <v>0.1351</v>
      </c>
      <c r="I20" s="205">
        <v>0.1351</v>
      </c>
      <c r="J20" s="205">
        <v>0.1351</v>
      </c>
      <c r="K20" s="205">
        <v>0.1273</v>
      </c>
      <c r="L20" s="205">
        <v>9.7299999999999998E-2</v>
      </c>
      <c r="M20" s="205">
        <v>9.7299999999999998E-2</v>
      </c>
      <c r="N20" s="205">
        <v>9.7299999999999998E-2</v>
      </c>
      <c r="O20" s="205">
        <v>9.1300000000000006E-2</v>
      </c>
      <c r="P20" s="205">
        <v>9.1300000000000006E-2</v>
      </c>
      <c r="Q20" s="205">
        <v>9.1300000000000006E-2</v>
      </c>
      <c r="R20" s="205">
        <v>9.1300000000000006E-2</v>
      </c>
      <c r="S20" s="205">
        <v>8.8099999999999998E-2</v>
      </c>
      <c r="T20" s="205">
        <v>8.8099999999999998E-2</v>
      </c>
      <c r="U20" s="205">
        <v>8.8099999999999998E-2</v>
      </c>
    </row>
    <row r="21" spans="1:21" s="1" customFormat="1" ht="24.5" thickBot="1">
      <c r="A21" s="180" t="s">
        <v>448</v>
      </c>
      <c r="B21" s="180" t="s">
        <v>466</v>
      </c>
      <c r="C21" s="207" t="s">
        <v>534</v>
      </c>
      <c r="D21" s="207" t="s">
        <v>535</v>
      </c>
      <c r="E21" s="207" t="s">
        <v>536</v>
      </c>
      <c r="F21" s="207" t="s">
        <v>537</v>
      </c>
      <c r="G21" s="207" t="s">
        <v>538</v>
      </c>
      <c r="H21" s="207" t="s">
        <v>539</v>
      </c>
      <c r="I21" s="207" t="s">
        <v>540</v>
      </c>
      <c r="J21" s="207" t="s">
        <v>541</v>
      </c>
      <c r="K21" s="207" t="s">
        <v>542</v>
      </c>
      <c r="L21" s="207" t="s">
        <v>543</v>
      </c>
      <c r="M21" s="207" t="s">
        <v>594</v>
      </c>
      <c r="N21" s="207" t="s">
        <v>600</v>
      </c>
      <c r="O21" s="207" t="s">
        <v>606</v>
      </c>
      <c r="P21" s="207" t="s">
        <v>616</v>
      </c>
      <c r="Q21" s="207" t="s">
        <v>534</v>
      </c>
      <c r="R21" s="207" t="s">
        <v>635</v>
      </c>
      <c r="S21" s="207" t="s">
        <v>642</v>
      </c>
      <c r="T21" s="207" t="s">
        <v>646</v>
      </c>
      <c r="U21" s="207" t="s">
        <v>649</v>
      </c>
    </row>
    <row r="22" spans="1:21" s="1" customFormat="1" ht="12.5" thickBot="1">
      <c r="A22" s="187" t="s">
        <v>449</v>
      </c>
      <c r="B22" s="187" t="s">
        <v>467</v>
      </c>
      <c r="C22" s="208">
        <v>8.9399999999999993E-2</v>
      </c>
      <c r="D22" s="208">
        <v>9.8100000000000007E-2</v>
      </c>
      <c r="E22" s="208">
        <v>9.7799999999999998E-2</v>
      </c>
      <c r="F22" s="208">
        <v>9.6199999999999994E-2</v>
      </c>
      <c r="G22" s="208">
        <v>8.7800000000000003E-2</v>
      </c>
      <c r="H22" s="208">
        <v>9.6199999999999994E-2</v>
      </c>
      <c r="I22" s="208">
        <v>8.3099999999999993E-2</v>
      </c>
      <c r="J22" s="208">
        <v>8.2699999999999996E-2</v>
      </c>
      <c r="K22" s="208">
        <v>8.1100000000000005E-2</v>
      </c>
      <c r="L22" s="208">
        <v>7.9899999999999999E-2</v>
      </c>
      <c r="M22" s="208">
        <v>8.0299999999999996E-2</v>
      </c>
      <c r="N22" s="208">
        <v>8.0799999999999997E-2</v>
      </c>
      <c r="O22" s="208">
        <v>8.3000000000000004E-2</v>
      </c>
      <c r="P22" s="208">
        <v>7.6200000000000004E-2</v>
      </c>
      <c r="Q22" s="208">
        <v>7.5999999999999998E-2</v>
      </c>
      <c r="R22" s="208">
        <v>7.0900000000000005E-2</v>
      </c>
      <c r="S22" s="208">
        <v>6.4600000000000005E-2</v>
      </c>
      <c r="T22" s="208">
        <v>5.6599999999999998E-2</v>
      </c>
      <c r="U22" s="208">
        <v>5.4100000000000002E-2</v>
      </c>
    </row>
    <row r="28" spans="1:21">
      <c r="D28" s="209"/>
    </row>
  </sheetData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O39"/>
  <sheetViews>
    <sheetView zoomScale="80" zoomScaleNormal="80" workbookViewId="0">
      <selection activeCell="B47" sqref="B47"/>
    </sheetView>
  </sheetViews>
  <sheetFormatPr defaultColWidth="8.75" defaultRowHeight="12" outlineLevelCol="1"/>
  <cols>
    <col min="1" max="1" width="35.08203125" style="1" customWidth="1"/>
    <col min="2" max="2" width="36.25" style="1" customWidth="1"/>
    <col min="3" max="3" width="11.75" style="1" hidden="1" customWidth="1" outlineLevel="1"/>
    <col min="4" max="4" width="12" style="1" hidden="1" customWidth="1" outlineLevel="1"/>
    <col min="5" max="6" width="12.25" style="1" hidden="1" customWidth="1" outlineLevel="1"/>
    <col min="7" max="7" width="12.25" style="1" hidden="1" customWidth="1" outlineLevel="1" collapsed="1"/>
    <col min="8" max="10" width="12.25" style="1" hidden="1" customWidth="1" outlineLevel="1"/>
    <col min="11" max="11" width="12.25" style="1" customWidth="1" collapsed="1"/>
    <col min="12" max="18" width="12.25" style="1" customWidth="1"/>
    <col min="19" max="19" width="3.75" style="1" customWidth="1"/>
    <col min="20" max="20" width="33.33203125" style="1" customWidth="1"/>
    <col min="21" max="24" width="12" style="1" hidden="1" customWidth="1" outlineLevel="1"/>
    <col min="25" max="25" width="12" style="1" hidden="1" customWidth="1" outlineLevel="1" collapsed="1"/>
    <col min="26" max="28" width="12" style="1" hidden="1" customWidth="1" outlineLevel="1"/>
    <col min="29" max="29" width="12" style="1" customWidth="1" collapsed="1"/>
    <col min="30" max="34" width="12" style="1" customWidth="1"/>
    <col min="35" max="36" width="11.33203125" style="69" customWidth="1"/>
    <col min="37" max="37" width="12.25" style="55" customWidth="1"/>
    <col min="38" max="38" width="11.33203125" style="55" customWidth="1"/>
    <col min="39" max="39" width="12" style="1" customWidth="1"/>
    <col min="40" max="16384" width="8.75" style="1"/>
  </cols>
  <sheetData>
    <row r="1" spans="1:41" ht="27.65" customHeight="1" thickBot="1">
      <c r="A1" s="83" t="s">
        <v>186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T1" s="1" t="s">
        <v>24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41" ht="24.5" thickBot="1">
      <c r="A2" s="37" t="s">
        <v>23</v>
      </c>
      <c r="B2" s="37" t="s">
        <v>172</v>
      </c>
      <c r="C2" s="37" t="s">
        <v>189</v>
      </c>
      <c r="D2" s="37" t="s">
        <v>192</v>
      </c>
      <c r="E2" s="37" t="s">
        <v>196</v>
      </c>
      <c r="F2" s="37" t="s">
        <v>216</v>
      </c>
      <c r="G2" s="37" t="s">
        <v>219</v>
      </c>
      <c r="H2" s="37" t="s">
        <v>238</v>
      </c>
      <c r="I2" s="37" t="s">
        <v>239</v>
      </c>
      <c r="J2" s="37" t="s">
        <v>242</v>
      </c>
      <c r="K2" s="37" t="s">
        <v>245</v>
      </c>
      <c r="L2" s="37" t="s">
        <v>252</v>
      </c>
      <c r="M2" s="37" t="s">
        <v>257</v>
      </c>
      <c r="N2" s="37" t="s">
        <v>259</v>
      </c>
      <c r="O2" s="37" t="s">
        <v>262</v>
      </c>
      <c r="P2" s="37" t="s">
        <v>267</v>
      </c>
      <c r="Q2" s="37" t="s">
        <v>275</v>
      </c>
      <c r="R2" s="37" t="s">
        <v>282</v>
      </c>
      <c r="T2" s="38" t="s">
        <v>23</v>
      </c>
      <c r="U2" s="38" t="s">
        <v>189</v>
      </c>
      <c r="V2" s="38" t="s">
        <v>191</v>
      </c>
      <c r="W2" s="38" t="s">
        <v>197</v>
      </c>
      <c r="X2" s="38" t="s">
        <v>215</v>
      </c>
      <c r="Y2" s="38" t="s">
        <v>219</v>
      </c>
      <c r="Z2" s="38" t="s">
        <v>237</v>
      </c>
      <c r="AA2" s="38" t="s">
        <v>240</v>
      </c>
      <c r="AB2" s="38" t="s">
        <v>243</v>
      </c>
      <c r="AC2" s="38" t="s">
        <v>245</v>
      </c>
      <c r="AD2" s="38" t="s">
        <v>253</v>
      </c>
      <c r="AE2" s="38" t="s">
        <v>256</v>
      </c>
      <c r="AF2" s="38" t="s">
        <v>260</v>
      </c>
      <c r="AG2" s="38" t="s">
        <v>262</v>
      </c>
      <c r="AH2" s="38" t="s">
        <v>273</v>
      </c>
      <c r="AI2" s="38" t="s">
        <v>276</v>
      </c>
      <c r="AJ2" s="38" t="s">
        <v>283</v>
      </c>
    </row>
    <row r="3" spans="1:41">
      <c r="A3" s="41" t="s">
        <v>25</v>
      </c>
      <c r="B3" s="42" t="s">
        <v>258</v>
      </c>
      <c r="C3" s="11">
        <v>632128</v>
      </c>
      <c r="D3" s="11">
        <v>1292024</v>
      </c>
      <c r="E3" s="11">
        <v>1968388</v>
      </c>
      <c r="F3" s="11">
        <v>2594070</v>
      </c>
      <c r="G3" s="11">
        <v>600706</v>
      </c>
      <c r="H3" s="11">
        <v>1182664</v>
      </c>
      <c r="I3" s="11">
        <v>1777627</v>
      </c>
      <c r="J3" s="11">
        <v>2366622</v>
      </c>
      <c r="K3" s="11">
        <v>570293</v>
      </c>
      <c r="L3" s="11">
        <v>1153602</v>
      </c>
      <c r="M3" s="11">
        <v>1735054</v>
      </c>
      <c r="N3" s="11">
        <v>2327967</v>
      </c>
      <c r="O3" s="11">
        <v>594025</v>
      </c>
      <c r="P3" s="11">
        <v>1196582</v>
      </c>
      <c r="Q3" s="11">
        <v>1818176</v>
      </c>
      <c r="R3" s="11">
        <v>2439330</v>
      </c>
      <c r="T3" s="39" t="s">
        <v>25</v>
      </c>
      <c r="U3" s="5">
        <v>632128</v>
      </c>
      <c r="V3" s="5">
        <v>659896</v>
      </c>
      <c r="W3" s="5">
        <v>676364</v>
      </c>
      <c r="X3" s="5">
        <v>625682</v>
      </c>
      <c r="Y3" s="5">
        <v>600706</v>
      </c>
      <c r="Z3" s="5">
        <v>581958</v>
      </c>
      <c r="AA3" s="5">
        <v>594963</v>
      </c>
      <c r="AB3" s="5">
        <v>588995</v>
      </c>
      <c r="AC3" s="5">
        <v>570293</v>
      </c>
      <c r="AD3" s="5">
        <v>583309</v>
      </c>
      <c r="AE3" s="5">
        <v>581452</v>
      </c>
      <c r="AF3" s="5">
        <v>592913</v>
      </c>
      <c r="AG3" s="5">
        <v>594025</v>
      </c>
      <c r="AH3" s="5">
        <v>602557</v>
      </c>
      <c r="AI3" s="5">
        <v>621594</v>
      </c>
      <c r="AJ3" s="5">
        <v>621154</v>
      </c>
      <c r="AK3" s="84"/>
      <c r="AL3" s="85"/>
      <c r="AO3" s="28"/>
    </row>
    <row r="4" spans="1:41">
      <c r="A4" s="41" t="s">
        <v>0</v>
      </c>
      <c r="B4" s="41" t="s">
        <v>97</v>
      </c>
      <c r="C4" s="12">
        <v>-275603</v>
      </c>
      <c r="D4" s="12">
        <v>-558155</v>
      </c>
      <c r="E4" s="12">
        <v>-857395</v>
      </c>
      <c r="F4" s="12">
        <v>-1129100</v>
      </c>
      <c r="G4" s="12">
        <v>-249631</v>
      </c>
      <c r="H4" s="12">
        <v>-483214</v>
      </c>
      <c r="I4" s="12">
        <v>-720699</v>
      </c>
      <c r="J4" s="12">
        <v>-947958</v>
      </c>
      <c r="K4" s="12">
        <v>-205531</v>
      </c>
      <c r="L4" s="12">
        <v>-397607</v>
      </c>
      <c r="M4" s="12">
        <v>-585905</v>
      </c>
      <c r="N4" s="12">
        <v>-771516</v>
      </c>
      <c r="O4" s="12">
        <v>-182862</v>
      </c>
      <c r="P4" s="12">
        <v>-355515</v>
      </c>
      <c r="Q4" s="12">
        <v>-530486</v>
      </c>
      <c r="R4" s="12">
        <v>-702470</v>
      </c>
      <c r="T4" s="39" t="s">
        <v>0</v>
      </c>
      <c r="U4" s="6">
        <v>-275603</v>
      </c>
      <c r="V4" s="6">
        <v>-282552</v>
      </c>
      <c r="W4" s="6">
        <v>-299240</v>
      </c>
      <c r="X4" s="6">
        <v>-271705</v>
      </c>
      <c r="Y4" s="6">
        <v>-249631</v>
      </c>
      <c r="Z4" s="6">
        <v>-233583</v>
      </c>
      <c r="AA4" s="6">
        <v>-237485</v>
      </c>
      <c r="AB4" s="6">
        <v>-227259</v>
      </c>
      <c r="AC4" s="6">
        <v>-205531</v>
      </c>
      <c r="AD4" s="6">
        <v>-192076</v>
      </c>
      <c r="AE4" s="6">
        <v>-188298</v>
      </c>
      <c r="AF4" s="6">
        <v>-185611</v>
      </c>
      <c r="AG4" s="6">
        <v>-182862</v>
      </c>
      <c r="AH4" s="6">
        <v>-172653</v>
      </c>
      <c r="AI4" s="6">
        <v>-174971</v>
      </c>
      <c r="AJ4" s="6">
        <v>-171984</v>
      </c>
      <c r="AK4" s="84"/>
      <c r="AL4" s="85"/>
    </row>
    <row r="5" spans="1:41">
      <c r="A5" s="43" t="s">
        <v>26</v>
      </c>
      <c r="B5" s="43" t="s">
        <v>98</v>
      </c>
      <c r="C5" s="13">
        <f t="shared" ref="C5:O5" si="0">SUM(C3:C4)</f>
        <v>356525</v>
      </c>
      <c r="D5" s="13">
        <f t="shared" si="0"/>
        <v>733869</v>
      </c>
      <c r="E5" s="13">
        <f t="shared" si="0"/>
        <v>1110993</v>
      </c>
      <c r="F5" s="13">
        <f t="shared" si="0"/>
        <v>1464970</v>
      </c>
      <c r="G5" s="13">
        <f t="shared" si="0"/>
        <v>351075</v>
      </c>
      <c r="H5" s="13">
        <f t="shared" si="0"/>
        <v>699450</v>
      </c>
      <c r="I5" s="13">
        <f t="shared" si="0"/>
        <v>1056928</v>
      </c>
      <c r="J5" s="13">
        <f t="shared" si="0"/>
        <v>1418664</v>
      </c>
      <c r="K5" s="13">
        <f t="shared" si="0"/>
        <v>364762</v>
      </c>
      <c r="L5" s="13">
        <f t="shared" si="0"/>
        <v>755995</v>
      </c>
      <c r="M5" s="13">
        <f t="shared" si="0"/>
        <v>1149149</v>
      </c>
      <c r="N5" s="13">
        <f t="shared" si="0"/>
        <v>1556451</v>
      </c>
      <c r="O5" s="13">
        <f t="shared" si="0"/>
        <v>411163</v>
      </c>
      <c r="P5" s="13">
        <v>841067</v>
      </c>
      <c r="Q5" s="13">
        <f>SUM(Q3:Q4)</f>
        <v>1287690</v>
      </c>
      <c r="R5" s="13">
        <f>SUM(R3:R4)</f>
        <v>1736860</v>
      </c>
      <c r="T5" s="49" t="s">
        <v>26</v>
      </c>
      <c r="U5" s="7">
        <v>356525</v>
      </c>
      <c r="V5" s="7">
        <v>377344</v>
      </c>
      <c r="W5" s="7">
        <v>377124</v>
      </c>
      <c r="X5" s="7">
        <v>353977</v>
      </c>
      <c r="Y5" s="7">
        <v>351075</v>
      </c>
      <c r="Z5" s="7">
        <v>348375</v>
      </c>
      <c r="AA5" s="7">
        <v>357478</v>
      </c>
      <c r="AB5" s="7">
        <v>361736</v>
      </c>
      <c r="AC5" s="7">
        <v>364762</v>
      </c>
      <c r="AD5" s="7">
        <v>391233</v>
      </c>
      <c r="AE5" s="7">
        <v>393154</v>
      </c>
      <c r="AF5" s="7">
        <v>407302</v>
      </c>
      <c r="AG5" s="7">
        <v>411163</v>
      </c>
      <c r="AH5" s="7">
        <v>429904</v>
      </c>
      <c r="AI5" s="7">
        <v>446623</v>
      </c>
      <c r="AJ5" s="7">
        <v>449170</v>
      </c>
      <c r="AK5" s="86"/>
      <c r="AL5" s="87"/>
    </row>
    <row r="6" spans="1:41" ht="17.149999999999999" customHeight="1">
      <c r="A6" s="41" t="s">
        <v>1</v>
      </c>
      <c r="B6" s="41" t="s">
        <v>99</v>
      </c>
      <c r="C6" s="12">
        <v>174839</v>
      </c>
      <c r="D6" s="12">
        <v>359426</v>
      </c>
      <c r="E6" s="12">
        <v>531235</v>
      </c>
      <c r="F6" s="12">
        <v>695321</v>
      </c>
      <c r="G6" s="12">
        <v>177814</v>
      </c>
      <c r="H6" s="12">
        <v>350983</v>
      </c>
      <c r="I6" s="12">
        <v>527368</v>
      </c>
      <c r="J6" s="12">
        <v>696280</v>
      </c>
      <c r="K6" s="12">
        <v>161382</v>
      </c>
      <c r="L6" s="12">
        <v>330323</v>
      </c>
      <c r="M6" s="12">
        <v>509562</v>
      </c>
      <c r="N6" s="12">
        <v>698007</v>
      </c>
      <c r="O6" s="12">
        <v>196098</v>
      </c>
      <c r="P6" s="12">
        <v>392262</v>
      </c>
      <c r="Q6" s="12">
        <v>593326</v>
      </c>
      <c r="R6" s="12">
        <v>799288</v>
      </c>
      <c r="T6" s="39" t="s">
        <v>1</v>
      </c>
      <c r="U6" s="6">
        <v>174839</v>
      </c>
      <c r="V6" s="6">
        <v>184587</v>
      </c>
      <c r="W6" s="6">
        <v>171809</v>
      </c>
      <c r="X6" s="6">
        <v>164086</v>
      </c>
      <c r="Y6" s="6">
        <v>177814</v>
      </c>
      <c r="Z6" s="6">
        <v>173169</v>
      </c>
      <c r="AA6" s="6">
        <v>176385</v>
      </c>
      <c r="AB6" s="6">
        <v>168912</v>
      </c>
      <c r="AC6" s="6">
        <v>161382</v>
      </c>
      <c r="AD6" s="6">
        <v>168941</v>
      </c>
      <c r="AE6" s="6">
        <v>179239</v>
      </c>
      <c r="AF6" s="6">
        <v>188445</v>
      </c>
      <c r="AG6" s="6">
        <v>196098</v>
      </c>
      <c r="AH6" s="6">
        <v>196164</v>
      </c>
      <c r="AI6" s="6">
        <v>201064</v>
      </c>
      <c r="AJ6" s="6">
        <v>205962</v>
      </c>
      <c r="AK6" s="84"/>
      <c r="AL6" s="85"/>
    </row>
    <row r="7" spans="1:41" ht="16.5" customHeight="1">
      <c r="A7" s="41" t="s">
        <v>2</v>
      </c>
      <c r="B7" s="41" t="s">
        <v>100</v>
      </c>
      <c r="C7" s="12">
        <v>-19344</v>
      </c>
      <c r="D7" s="12">
        <v>-40842</v>
      </c>
      <c r="E7" s="12">
        <v>-61761</v>
      </c>
      <c r="F7" s="12">
        <v>-83648</v>
      </c>
      <c r="G7" s="12">
        <v>-21064</v>
      </c>
      <c r="H7" s="12">
        <v>-46844</v>
      </c>
      <c r="I7" s="12">
        <v>-71642</v>
      </c>
      <c r="J7" s="12">
        <v>-100107</v>
      </c>
      <c r="K7" s="12">
        <v>-27030</v>
      </c>
      <c r="L7" s="12">
        <v>-56187</v>
      </c>
      <c r="M7" s="12">
        <v>-85234</v>
      </c>
      <c r="N7" s="12">
        <v>-116983</v>
      </c>
      <c r="O7" s="12">
        <v>-29981</v>
      </c>
      <c r="P7" s="12">
        <v>-63627</v>
      </c>
      <c r="Q7" s="12">
        <v>-99153</v>
      </c>
      <c r="R7" s="12">
        <v>-135735</v>
      </c>
      <c r="T7" s="39" t="s">
        <v>2</v>
      </c>
      <c r="U7" s="6">
        <v>-19344</v>
      </c>
      <c r="V7" s="6">
        <v>-21498</v>
      </c>
      <c r="W7" s="6">
        <v>-20919</v>
      </c>
      <c r="X7" s="6">
        <v>-21887</v>
      </c>
      <c r="Y7" s="6">
        <v>-21064</v>
      </c>
      <c r="Z7" s="6">
        <v>-25780</v>
      </c>
      <c r="AA7" s="6">
        <v>-24798</v>
      </c>
      <c r="AB7" s="6">
        <v>-28465</v>
      </c>
      <c r="AC7" s="6">
        <v>-27030</v>
      </c>
      <c r="AD7" s="6">
        <v>-29157</v>
      </c>
      <c r="AE7" s="6">
        <v>-29047</v>
      </c>
      <c r="AF7" s="6">
        <v>-31749</v>
      </c>
      <c r="AG7" s="6">
        <v>-29981</v>
      </c>
      <c r="AH7" s="6">
        <v>-33646</v>
      </c>
      <c r="AI7" s="6">
        <v>-35526</v>
      </c>
      <c r="AJ7" s="6">
        <v>-36582</v>
      </c>
      <c r="AK7" s="84"/>
      <c r="AL7" s="85"/>
    </row>
    <row r="8" spans="1:41" ht="16.399999999999999" customHeight="1">
      <c r="A8" s="43" t="s">
        <v>3</v>
      </c>
      <c r="B8" s="43" t="s">
        <v>101</v>
      </c>
      <c r="C8" s="13">
        <f t="shared" ref="C8:K8" si="1">SUM(C6:C7)</f>
        <v>155495</v>
      </c>
      <c r="D8" s="13">
        <f t="shared" si="1"/>
        <v>318584</v>
      </c>
      <c r="E8" s="13">
        <f t="shared" si="1"/>
        <v>469474</v>
      </c>
      <c r="F8" s="13">
        <f t="shared" si="1"/>
        <v>611673</v>
      </c>
      <c r="G8" s="13">
        <f t="shared" si="1"/>
        <v>156750</v>
      </c>
      <c r="H8" s="13">
        <f t="shared" si="1"/>
        <v>304139</v>
      </c>
      <c r="I8" s="13">
        <f t="shared" si="1"/>
        <v>455726</v>
      </c>
      <c r="J8" s="13">
        <f t="shared" si="1"/>
        <v>596173</v>
      </c>
      <c r="K8" s="13">
        <f t="shared" si="1"/>
        <v>134352</v>
      </c>
      <c r="L8" s="13">
        <f>SUM(L6:L7)</f>
        <v>274136</v>
      </c>
      <c r="M8" s="13">
        <f>SUM(M6:M7)</f>
        <v>424328</v>
      </c>
      <c r="N8" s="13">
        <f>SUM(N6:N7)</f>
        <v>581024</v>
      </c>
      <c r="O8" s="13">
        <f>SUM(O6:O7)</f>
        <v>166117</v>
      </c>
      <c r="P8" s="13">
        <v>328635</v>
      </c>
      <c r="Q8" s="13">
        <f>SUM(Q6:Q7)</f>
        <v>494173</v>
      </c>
      <c r="R8" s="13">
        <f>SUM(R6:R7)</f>
        <v>663553</v>
      </c>
      <c r="T8" s="49" t="s">
        <v>3</v>
      </c>
      <c r="U8" s="7">
        <v>155495</v>
      </c>
      <c r="V8" s="7">
        <v>163089</v>
      </c>
      <c r="W8" s="7">
        <v>150890</v>
      </c>
      <c r="X8" s="7">
        <v>142199</v>
      </c>
      <c r="Y8" s="7">
        <v>156750</v>
      </c>
      <c r="Z8" s="7">
        <v>147389</v>
      </c>
      <c r="AA8" s="7">
        <v>151587</v>
      </c>
      <c r="AB8" s="7">
        <v>140447</v>
      </c>
      <c r="AC8" s="7">
        <v>134352</v>
      </c>
      <c r="AD8" s="7">
        <v>139784</v>
      </c>
      <c r="AE8" s="7">
        <v>150192</v>
      </c>
      <c r="AF8" s="7">
        <v>156696</v>
      </c>
      <c r="AG8" s="7">
        <v>166117</v>
      </c>
      <c r="AH8" s="7">
        <v>162518</v>
      </c>
      <c r="AI8" s="7">
        <v>165538</v>
      </c>
      <c r="AJ8" s="7">
        <v>169380</v>
      </c>
      <c r="AK8" s="86"/>
      <c r="AL8" s="87"/>
    </row>
    <row r="9" spans="1:41">
      <c r="A9" s="41" t="s">
        <v>4</v>
      </c>
      <c r="B9" s="41" t="s">
        <v>102</v>
      </c>
      <c r="C9" s="12">
        <v>0</v>
      </c>
      <c r="D9" s="12">
        <v>1842</v>
      </c>
      <c r="E9" s="12">
        <v>1851</v>
      </c>
      <c r="F9" s="12">
        <v>1851</v>
      </c>
      <c r="G9" s="12">
        <v>1</v>
      </c>
      <c r="H9" s="12">
        <v>1378</v>
      </c>
      <c r="I9" s="12">
        <v>2270</v>
      </c>
      <c r="J9" s="12">
        <v>2271</v>
      </c>
      <c r="K9" s="12">
        <v>0</v>
      </c>
      <c r="L9" s="12">
        <v>1775</v>
      </c>
      <c r="M9" s="12">
        <v>1907</v>
      </c>
      <c r="N9" s="12">
        <v>1909</v>
      </c>
      <c r="O9" s="12">
        <v>285</v>
      </c>
      <c r="P9" s="12">
        <v>2326</v>
      </c>
      <c r="Q9" s="12">
        <v>2465</v>
      </c>
      <c r="R9" s="12">
        <v>2612</v>
      </c>
      <c r="T9" s="39" t="s">
        <v>4</v>
      </c>
      <c r="U9" s="6">
        <v>0</v>
      </c>
      <c r="V9" s="6">
        <v>1842</v>
      </c>
      <c r="W9" s="6">
        <v>9</v>
      </c>
      <c r="X9" s="6">
        <v>0</v>
      </c>
      <c r="Y9" s="6">
        <v>1</v>
      </c>
      <c r="Z9" s="6">
        <v>1377</v>
      </c>
      <c r="AA9" s="6">
        <v>892</v>
      </c>
      <c r="AB9" s="6">
        <v>1</v>
      </c>
      <c r="AC9" s="6">
        <v>0</v>
      </c>
      <c r="AD9" s="6">
        <v>1775</v>
      </c>
      <c r="AE9" s="6">
        <v>132</v>
      </c>
      <c r="AF9" s="6">
        <v>2</v>
      </c>
      <c r="AG9" s="6">
        <v>285</v>
      </c>
      <c r="AH9" s="6">
        <v>2041</v>
      </c>
      <c r="AI9" s="6">
        <v>139</v>
      </c>
      <c r="AJ9" s="6">
        <v>147</v>
      </c>
      <c r="AK9" s="84"/>
      <c r="AL9" s="85"/>
    </row>
    <row r="10" spans="1:41" ht="17.149999999999999" customHeight="1">
      <c r="A10" s="41" t="s">
        <v>5</v>
      </c>
      <c r="B10" s="41" t="s">
        <v>103</v>
      </c>
      <c r="C10" s="12">
        <v>15187</v>
      </c>
      <c r="D10" s="12">
        <v>14891</v>
      </c>
      <c r="E10" s="12">
        <v>14905</v>
      </c>
      <c r="F10" s="12">
        <v>18447</v>
      </c>
      <c r="G10" s="12">
        <v>14318</v>
      </c>
      <c r="H10" s="12">
        <v>26495</v>
      </c>
      <c r="I10" s="12">
        <v>39137</v>
      </c>
      <c r="J10" s="12">
        <v>41852</v>
      </c>
      <c r="K10" s="12">
        <v>17097</v>
      </c>
      <c r="L10" s="12">
        <v>302469</v>
      </c>
      <c r="M10" s="12">
        <v>305014</v>
      </c>
      <c r="N10" s="12">
        <v>314689</v>
      </c>
      <c r="O10" s="12">
        <v>332</v>
      </c>
      <c r="P10" s="12">
        <v>4181</v>
      </c>
      <c r="Q10" s="12">
        <v>9219</v>
      </c>
      <c r="R10" s="12">
        <v>25288</v>
      </c>
      <c r="T10" s="39" t="s">
        <v>5</v>
      </c>
      <c r="U10" s="6">
        <v>15187</v>
      </c>
      <c r="V10" s="6">
        <v>-296</v>
      </c>
      <c r="W10" s="6">
        <v>14</v>
      </c>
      <c r="X10" s="6">
        <v>3542</v>
      </c>
      <c r="Y10" s="6">
        <v>14318</v>
      </c>
      <c r="Z10" s="6">
        <v>12177</v>
      </c>
      <c r="AA10" s="6">
        <v>12642</v>
      </c>
      <c r="AB10" s="6">
        <v>2715</v>
      </c>
      <c r="AC10" s="6">
        <v>17097</v>
      </c>
      <c r="AD10" s="6">
        <v>285372</v>
      </c>
      <c r="AE10" s="6">
        <v>2545</v>
      </c>
      <c r="AF10" s="6">
        <v>9675</v>
      </c>
      <c r="AG10" s="6">
        <v>332</v>
      </c>
      <c r="AH10" s="6">
        <v>3849</v>
      </c>
      <c r="AI10" s="6">
        <v>5038</v>
      </c>
      <c r="AJ10" s="6">
        <v>16069</v>
      </c>
      <c r="AK10" s="84"/>
      <c r="AL10" s="85"/>
    </row>
    <row r="11" spans="1:41" ht="26.9" customHeight="1">
      <c r="A11" s="41" t="s">
        <v>145</v>
      </c>
      <c r="B11" s="41" t="s">
        <v>207</v>
      </c>
      <c r="C11" s="12">
        <v>502</v>
      </c>
      <c r="D11" s="12">
        <v>1458</v>
      </c>
      <c r="E11" s="12">
        <v>7789</v>
      </c>
      <c r="F11" s="12">
        <v>21528</v>
      </c>
      <c r="G11" s="12">
        <v>23757</v>
      </c>
      <c r="H11" s="12">
        <v>29845</v>
      </c>
      <c r="I11" s="12">
        <v>9655</v>
      </c>
      <c r="J11" s="12">
        <v>15895</v>
      </c>
      <c r="K11" s="12">
        <v>-2274</v>
      </c>
      <c r="L11" s="12">
        <v>-2397</v>
      </c>
      <c r="M11" s="12">
        <v>-8862</v>
      </c>
      <c r="N11" s="12">
        <v>-9092</v>
      </c>
      <c r="O11" s="12">
        <v>-5093</v>
      </c>
      <c r="P11" s="12">
        <v>-7846</v>
      </c>
      <c r="Q11" s="12">
        <v>-11799</v>
      </c>
      <c r="R11" s="12">
        <v>-18189</v>
      </c>
      <c r="T11" s="39" t="s">
        <v>145</v>
      </c>
      <c r="U11" s="6">
        <v>502</v>
      </c>
      <c r="V11" s="6">
        <v>956</v>
      </c>
      <c r="W11" s="6">
        <v>6331</v>
      </c>
      <c r="X11" s="6">
        <v>13739</v>
      </c>
      <c r="Y11" s="6">
        <v>23757</v>
      </c>
      <c r="Z11" s="6">
        <v>6088</v>
      </c>
      <c r="AA11" s="6">
        <v>-20190</v>
      </c>
      <c r="AB11" s="6">
        <v>6240</v>
      </c>
      <c r="AC11" s="6">
        <v>-2274</v>
      </c>
      <c r="AD11" s="6">
        <v>-123</v>
      </c>
      <c r="AE11" s="6">
        <v>-6465</v>
      </c>
      <c r="AF11" s="6">
        <v>-230</v>
      </c>
      <c r="AG11" s="6">
        <v>-5093</v>
      </c>
      <c r="AH11" s="6">
        <v>-2753</v>
      </c>
      <c r="AI11" s="6">
        <v>-3953</v>
      </c>
      <c r="AJ11" s="6">
        <v>-6390</v>
      </c>
      <c r="AK11" s="84"/>
      <c r="AL11" s="85"/>
    </row>
    <row r="12" spans="1:41">
      <c r="A12" s="41" t="s">
        <v>22</v>
      </c>
      <c r="B12" s="41" t="s">
        <v>104</v>
      </c>
      <c r="C12" s="12">
        <v>37487</v>
      </c>
      <c r="D12" s="12">
        <v>76743</v>
      </c>
      <c r="E12" s="12">
        <v>116248</v>
      </c>
      <c r="F12" s="12">
        <v>150457</v>
      </c>
      <c r="G12" s="12">
        <v>5558</v>
      </c>
      <c r="H12" s="12">
        <v>29859</v>
      </c>
      <c r="I12" s="12">
        <v>74449</v>
      </c>
      <c r="J12" s="12">
        <v>106072</v>
      </c>
      <c r="K12" s="12">
        <v>32863</v>
      </c>
      <c r="L12" s="12">
        <v>62104</v>
      </c>
      <c r="M12" s="12">
        <v>101262</v>
      </c>
      <c r="N12" s="12">
        <v>132453</v>
      </c>
      <c r="O12" s="12">
        <v>40069</v>
      </c>
      <c r="P12" s="12">
        <v>81486</v>
      </c>
      <c r="Q12" s="12">
        <v>124893</v>
      </c>
      <c r="R12" s="12">
        <v>169518</v>
      </c>
      <c r="T12" s="39" t="s">
        <v>22</v>
      </c>
      <c r="U12" s="6">
        <v>37487</v>
      </c>
      <c r="V12" s="6">
        <v>39256</v>
      </c>
      <c r="W12" s="6">
        <v>39505</v>
      </c>
      <c r="X12" s="6">
        <v>34209</v>
      </c>
      <c r="Y12" s="6">
        <v>5558</v>
      </c>
      <c r="Z12" s="6">
        <v>24301</v>
      </c>
      <c r="AA12" s="6">
        <v>44590</v>
      </c>
      <c r="AB12" s="6">
        <v>31623</v>
      </c>
      <c r="AC12" s="6">
        <v>32863</v>
      </c>
      <c r="AD12" s="6">
        <v>29241</v>
      </c>
      <c r="AE12" s="6">
        <v>39158</v>
      </c>
      <c r="AF12" s="6">
        <v>31191</v>
      </c>
      <c r="AG12" s="6">
        <v>40069</v>
      </c>
      <c r="AH12" s="6">
        <v>41417</v>
      </c>
      <c r="AI12" s="6">
        <v>43407</v>
      </c>
      <c r="AJ12" s="6">
        <v>44625</v>
      </c>
      <c r="AK12" s="84"/>
      <c r="AL12" s="85"/>
      <c r="AO12" s="28"/>
    </row>
    <row r="13" spans="1:41">
      <c r="A13" s="41" t="s">
        <v>6</v>
      </c>
      <c r="B13" s="41" t="s">
        <v>105</v>
      </c>
      <c r="C13" s="12">
        <v>9754</v>
      </c>
      <c r="D13" s="12">
        <v>21658</v>
      </c>
      <c r="E13" s="12">
        <v>29623</v>
      </c>
      <c r="F13" s="12">
        <v>39440</v>
      </c>
      <c r="G13" s="12">
        <v>7320</v>
      </c>
      <c r="H13" s="12">
        <v>38477</v>
      </c>
      <c r="I13" s="12">
        <v>51247</v>
      </c>
      <c r="J13" s="12">
        <v>58274</v>
      </c>
      <c r="K13" s="12">
        <v>11046</v>
      </c>
      <c r="L13" s="12">
        <v>23465</v>
      </c>
      <c r="M13" s="12">
        <v>34785</v>
      </c>
      <c r="N13" s="12">
        <v>50556</v>
      </c>
      <c r="O13" s="12">
        <v>25458</v>
      </c>
      <c r="P13" s="12">
        <v>36438</v>
      </c>
      <c r="Q13" s="12">
        <v>57362</v>
      </c>
      <c r="R13" s="12">
        <v>69909</v>
      </c>
      <c r="T13" s="39" t="s">
        <v>6</v>
      </c>
      <c r="U13" s="6">
        <v>9754</v>
      </c>
      <c r="V13" s="6">
        <v>11904</v>
      </c>
      <c r="W13" s="6">
        <v>7965</v>
      </c>
      <c r="X13" s="6">
        <v>9817</v>
      </c>
      <c r="Y13" s="6">
        <v>7320</v>
      </c>
      <c r="Z13" s="6">
        <v>31157</v>
      </c>
      <c r="AA13" s="6">
        <v>12770</v>
      </c>
      <c r="AB13" s="6">
        <v>7027</v>
      </c>
      <c r="AC13" s="6">
        <v>11046</v>
      </c>
      <c r="AD13" s="6">
        <v>12419</v>
      </c>
      <c r="AE13" s="6">
        <v>11320</v>
      </c>
      <c r="AF13" s="6">
        <v>15771</v>
      </c>
      <c r="AG13" s="6">
        <v>25458</v>
      </c>
      <c r="AH13" s="6">
        <v>10980</v>
      </c>
      <c r="AI13" s="6">
        <v>20924</v>
      </c>
      <c r="AJ13" s="6">
        <v>12547</v>
      </c>
      <c r="AK13" s="84"/>
      <c r="AL13" s="85"/>
    </row>
    <row r="14" spans="1:41">
      <c r="A14" s="41" t="s">
        <v>11</v>
      </c>
      <c r="B14" s="41" t="s">
        <v>106</v>
      </c>
      <c r="C14" s="12">
        <v>-31093</v>
      </c>
      <c r="D14" s="12">
        <v>-57677</v>
      </c>
      <c r="E14" s="12">
        <v>-76113</v>
      </c>
      <c r="F14" s="12">
        <v>-92811</v>
      </c>
      <c r="G14" s="12">
        <v>-13244</v>
      </c>
      <c r="H14" s="12">
        <v>-40444</v>
      </c>
      <c r="I14" s="12">
        <v>-59510</v>
      </c>
      <c r="J14" s="12">
        <v>-222027</v>
      </c>
      <c r="K14" s="12">
        <v>-18715</v>
      </c>
      <c r="L14" s="12">
        <v>-97534</v>
      </c>
      <c r="M14" s="12">
        <v>-116639</v>
      </c>
      <c r="N14" s="12">
        <v>-155775</v>
      </c>
      <c r="O14" s="12">
        <v>-59375</v>
      </c>
      <c r="P14" s="12">
        <v>-74948</v>
      </c>
      <c r="Q14" s="12">
        <v>-95040</v>
      </c>
      <c r="R14" s="12">
        <v>-124390</v>
      </c>
      <c r="T14" s="39" t="s">
        <v>11</v>
      </c>
      <c r="U14" s="6">
        <v>-31093</v>
      </c>
      <c r="V14" s="6">
        <v>-26584</v>
      </c>
      <c r="W14" s="6">
        <v>-18436</v>
      </c>
      <c r="X14" s="6">
        <v>-16698</v>
      </c>
      <c r="Y14" s="6">
        <v>-13244</v>
      </c>
      <c r="Z14" s="6">
        <v>-27200</v>
      </c>
      <c r="AA14" s="6">
        <v>-19066</v>
      </c>
      <c r="AB14" s="6">
        <v>-162517</v>
      </c>
      <c r="AC14" s="6">
        <v>-18715</v>
      </c>
      <c r="AD14" s="6">
        <v>-78819</v>
      </c>
      <c r="AE14" s="6">
        <v>-19105</v>
      </c>
      <c r="AF14" s="6">
        <v>-39136</v>
      </c>
      <c r="AG14" s="6">
        <v>-59375</v>
      </c>
      <c r="AH14" s="6">
        <v>-15573</v>
      </c>
      <c r="AI14" s="6">
        <v>-20092</v>
      </c>
      <c r="AJ14" s="6">
        <v>-29350</v>
      </c>
      <c r="AK14" s="86"/>
      <c r="AL14" s="87"/>
    </row>
    <row r="15" spans="1:41">
      <c r="A15" s="43" t="s">
        <v>27</v>
      </c>
      <c r="B15" s="43" t="s">
        <v>109</v>
      </c>
      <c r="C15" s="7">
        <f t="shared" ref="C15:Q15" si="2">SUM(C9:C14,C8,C5)</f>
        <v>543857</v>
      </c>
      <c r="D15" s="7">
        <f t="shared" si="2"/>
        <v>1111368</v>
      </c>
      <c r="E15" s="7">
        <f t="shared" si="2"/>
        <v>1674770</v>
      </c>
      <c r="F15" s="7">
        <f t="shared" si="2"/>
        <v>2215555</v>
      </c>
      <c r="G15" s="7">
        <f t="shared" si="2"/>
        <v>545535</v>
      </c>
      <c r="H15" s="7">
        <f t="shared" si="2"/>
        <v>1089199</v>
      </c>
      <c r="I15" s="7">
        <f t="shared" si="2"/>
        <v>1629902</v>
      </c>
      <c r="J15" s="7">
        <f t="shared" si="2"/>
        <v>2017174</v>
      </c>
      <c r="K15" s="7">
        <f t="shared" si="2"/>
        <v>539131</v>
      </c>
      <c r="L15" s="7">
        <f t="shared" si="2"/>
        <v>1320013</v>
      </c>
      <c r="M15" s="7">
        <f t="shared" si="2"/>
        <v>1890944</v>
      </c>
      <c r="N15" s="7">
        <f t="shared" si="2"/>
        <v>2472215</v>
      </c>
      <c r="O15" s="7">
        <f t="shared" si="2"/>
        <v>578956</v>
      </c>
      <c r="P15" s="7">
        <f t="shared" si="2"/>
        <v>1211339</v>
      </c>
      <c r="Q15" s="7">
        <f t="shared" si="2"/>
        <v>1868963</v>
      </c>
      <c r="R15" s="7">
        <f>SUM(R9:R14,R8,R5)</f>
        <v>2525161</v>
      </c>
      <c r="T15" s="49" t="s">
        <v>27</v>
      </c>
      <c r="U15" s="7">
        <v>543857</v>
      </c>
      <c r="V15" s="7">
        <v>567511</v>
      </c>
      <c r="W15" s="7">
        <v>563402</v>
      </c>
      <c r="X15" s="7">
        <v>540785</v>
      </c>
      <c r="Y15" s="7">
        <v>545535</v>
      </c>
      <c r="Z15" s="7">
        <v>543664</v>
      </c>
      <c r="AA15" s="7">
        <v>540703</v>
      </c>
      <c r="AB15" s="7">
        <v>387272</v>
      </c>
      <c r="AC15" s="7">
        <v>539131</v>
      </c>
      <c r="AD15" s="7">
        <v>780882</v>
      </c>
      <c r="AE15" s="7">
        <v>570931</v>
      </c>
      <c r="AF15" s="7">
        <v>581271</v>
      </c>
      <c r="AG15" s="7">
        <v>578956</v>
      </c>
      <c r="AH15" s="7">
        <v>632383</v>
      </c>
      <c r="AI15" s="7">
        <v>657624</v>
      </c>
      <c r="AJ15" s="7">
        <v>656198</v>
      </c>
      <c r="AK15" s="84"/>
      <c r="AL15" s="85"/>
    </row>
    <row r="16" spans="1:41" ht="17.149999999999999" customHeight="1">
      <c r="A16" s="41" t="s">
        <v>7</v>
      </c>
      <c r="B16" s="41" t="s">
        <v>107</v>
      </c>
      <c r="C16" s="12">
        <v>-261161</v>
      </c>
      <c r="D16" s="12">
        <v>-527554</v>
      </c>
      <c r="E16" s="12">
        <v>-792487</v>
      </c>
      <c r="F16" s="12">
        <v>-1056053</v>
      </c>
      <c r="G16" s="12">
        <v>-262514</v>
      </c>
      <c r="H16" s="12">
        <v>-521230</v>
      </c>
      <c r="I16" s="12">
        <v>-774629</v>
      </c>
      <c r="J16" s="12">
        <v>-1036614</v>
      </c>
      <c r="K16" s="12">
        <v>-258360</v>
      </c>
      <c r="L16" s="12">
        <v>-524441</v>
      </c>
      <c r="M16" s="12">
        <v>-789217</v>
      </c>
      <c r="N16" s="12">
        <v>-1057466</v>
      </c>
      <c r="O16" s="12">
        <v>-257422</v>
      </c>
      <c r="P16" s="12">
        <v>-534369</v>
      </c>
      <c r="Q16" s="12">
        <v>-811889</v>
      </c>
      <c r="R16" s="12">
        <v>-1103283</v>
      </c>
      <c r="T16" s="39" t="s">
        <v>7</v>
      </c>
      <c r="U16" s="6">
        <v>-261161</v>
      </c>
      <c r="V16" s="6">
        <v>-266393</v>
      </c>
      <c r="W16" s="6">
        <v>-264933</v>
      </c>
      <c r="X16" s="6">
        <v>-263566</v>
      </c>
      <c r="Y16" s="6">
        <v>-262514</v>
      </c>
      <c r="Z16" s="6">
        <v>-258716</v>
      </c>
      <c r="AA16" s="6">
        <v>-253399</v>
      </c>
      <c r="AB16" s="6">
        <v>-261985</v>
      </c>
      <c r="AC16" s="6">
        <v>-258360</v>
      </c>
      <c r="AD16" s="6">
        <v>-266081</v>
      </c>
      <c r="AE16" s="6">
        <v>-264776</v>
      </c>
      <c r="AF16" s="6">
        <v>-268249</v>
      </c>
      <c r="AG16" s="6">
        <v>-257422</v>
      </c>
      <c r="AH16" s="6">
        <v>-276947</v>
      </c>
      <c r="AI16" s="6">
        <v>-277520</v>
      </c>
      <c r="AJ16" s="6">
        <v>-291394</v>
      </c>
      <c r="AK16" s="84"/>
      <c r="AL16" s="85"/>
    </row>
    <row r="17" spans="1:38" ht="17.149999999999999" customHeight="1">
      <c r="A17" s="41" t="s">
        <v>10</v>
      </c>
      <c r="B17" s="41" t="s">
        <v>108</v>
      </c>
      <c r="C17" s="14">
        <v>-13600</v>
      </c>
      <c r="D17" s="14">
        <v>-26736</v>
      </c>
      <c r="E17" s="14">
        <v>-39818</v>
      </c>
      <c r="F17" s="14">
        <v>-55326</v>
      </c>
      <c r="G17" s="14">
        <v>-11912</v>
      </c>
      <c r="H17" s="14">
        <v>-24437</v>
      </c>
      <c r="I17" s="14">
        <v>-37040</v>
      </c>
      <c r="J17" s="14">
        <v>-50435</v>
      </c>
      <c r="K17" s="14">
        <v>-13467</v>
      </c>
      <c r="L17" s="14">
        <v>-28345</v>
      </c>
      <c r="M17" s="14">
        <v>-41394</v>
      </c>
      <c r="N17" s="14">
        <v>-54854</v>
      </c>
      <c r="O17" s="14">
        <v>-13119</v>
      </c>
      <c r="P17" s="14">
        <v>-26859</v>
      </c>
      <c r="Q17" s="14">
        <v>-39854</v>
      </c>
      <c r="R17" s="14">
        <v>-52971</v>
      </c>
      <c r="T17" s="39" t="s">
        <v>10</v>
      </c>
      <c r="U17" s="8">
        <v>-13600</v>
      </c>
      <c r="V17" s="8">
        <v>-13136</v>
      </c>
      <c r="W17" s="8">
        <v>-13082</v>
      </c>
      <c r="X17" s="8">
        <v>-15508</v>
      </c>
      <c r="Y17" s="8">
        <v>-11912</v>
      </c>
      <c r="Z17" s="8">
        <v>-12525</v>
      </c>
      <c r="AA17" s="8">
        <v>-12603</v>
      </c>
      <c r="AB17" s="8">
        <v>-13395</v>
      </c>
      <c r="AC17" s="8">
        <v>-13467</v>
      </c>
      <c r="AD17" s="8">
        <v>-14878</v>
      </c>
      <c r="AE17" s="8">
        <v>-13049</v>
      </c>
      <c r="AF17" s="8">
        <v>-13460</v>
      </c>
      <c r="AG17" s="8">
        <v>-13119</v>
      </c>
      <c r="AH17" s="8">
        <v>-13740</v>
      </c>
      <c r="AI17" s="8">
        <v>-12995</v>
      </c>
      <c r="AJ17" s="8">
        <v>-13117</v>
      </c>
      <c r="AK17" s="84"/>
      <c r="AL17" s="85"/>
    </row>
    <row r="18" spans="1:38">
      <c r="A18" s="43" t="s">
        <v>28</v>
      </c>
      <c r="B18" s="43" t="s">
        <v>110</v>
      </c>
      <c r="C18" s="7">
        <f t="shared" ref="C18:K18" si="3">SUM(C16:C17)</f>
        <v>-274761</v>
      </c>
      <c r="D18" s="7">
        <f t="shared" si="3"/>
        <v>-554290</v>
      </c>
      <c r="E18" s="7">
        <f t="shared" si="3"/>
        <v>-832305</v>
      </c>
      <c r="F18" s="7">
        <f t="shared" si="3"/>
        <v>-1111379</v>
      </c>
      <c r="G18" s="7">
        <f t="shared" si="3"/>
        <v>-274426</v>
      </c>
      <c r="H18" s="7">
        <f t="shared" si="3"/>
        <v>-545667</v>
      </c>
      <c r="I18" s="7">
        <f t="shared" si="3"/>
        <v>-811669</v>
      </c>
      <c r="J18" s="7">
        <f t="shared" si="3"/>
        <v>-1087049</v>
      </c>
      <c r="K18" s="7">
        <f t="shared" si="3"/>
        <v>-271827</v>
      </c>
      <c r="L18" s="7">
        <f t="shared" ref="L18:Q18" si="4">SUM(L16:L17)</f>
        <v>-552786</v>
      </c>
      <c r="M18" s="7">
        <f t="shared" si="4"/>
        <v>-830611</v>
      </c>
      <c r="N18" s="7">
        <f t="shared" si="4"/>
        <v>-1112320</v>
      </c>
      <c r="O18" s="7">
        <f t="shared" si="4"/>
        <v>-270541</v>
      </c>
      <c r="P18" s="7">
        <f t="shared" si="4"/>
        <v>-561228</v>
      </c>
      <c r="Q18" s="7">
        <f t="shared" si="4"/>
        <v>-851743</v>
      </c>
      <c r="R18" s="7">
        <f>SUM(R16:R17)</f>
        <v>-1156254</v>
      </c>
      <c r="T18" s="49" t="s">
        <v>28</v>
      </c>
      <c r="U18" s="7">
        <v>-274761</v>
      </c>
      <c r="V18" s="7">
        <v>-279529</v>
      </c>
      <c r="W18" s="7">
        <v>-278015</v>
      </c>
      <c r="X18" s="7">
        <v>-279074</v>
      </c>
      <c r="Y18" s="7">
        <v>-274426</v>
      </c>
      <c r="Z18" s="7">
        <v>-271241</v>
      </c>
      <c r="AA18" s="7">
        <v>-266002</v>
      </c>
      <c r="AB18" s="7">
        <v>-275380</v>
      </c>
      <c r="AC18" s="7">
        <v>-271827</v>
      </c>
      <c r="AD18" s="7">
        <v>-280959</v>
      </c>
      <c r="AE18" s="7">
        <v>-277825</v>
      </c>
      <c r="AF18" s="7">
        <v>-281709</v>
      </c>
      <c r="AG18" s="7">
        <v>-270541</v>
      </c>
      <c r="AH18" s="7">
        <v>-290687</v>
      </c>
      <c r="AI18" s="7">
        <v>-290515</v>
      </c>
      <c r="AJ18" s="7">
        <v>-304511</v>
      </c>
      <c r="AK18" s="84"/>
      <c r="AL18" s="88"/>
    </row>
    <row r="19" spans="1:38" ht="24">
      <c r="A19" s="41" t="s">
        <v>8</v>
      </c>
      <c r="B19" s="41" t="s">
        <v>111</v>
      </c>
      <c r="C19" s="12">
        <v>-65626</v>
      </c>
      <c r="D19" s="12">
        <v>-139442</v>
      </c>
      <c r="E19" s="12">
        <v>-201137</v>
      </c>
      <c r="F19" s="12">
        <v>-265041</v>
      </c>
      <c r="G19" s="12">
        <v>-67844</v>
      </c>
      <c r="H19" s="12">
        <v>-127183</v>
      </c>
      <c r="I19" s="12">
        <v>-195403</v>
      </c>
      <c r="J19" s="12">
        <v>-239833</v>
      </c>
      <c r="K19" s="12">
        <v>-43357</v>
      </c>
      <c r="L19" s="12">
        <v>-104759</v>
      </c>
      <c r="M19" s="12">
        <v>-156897</v>
      </c>
      <c r="N19" s="12">
        <v>-227804</v>
      </c>
      <c r="O19" s="12">
        <v>-59501</v>
      </c>
      <c r="P19" s="12">
        <v>-122280</v>
      </c>
      <c r="Q19" s="12">
        <v>-191456</v>
      </c>
      <c r="R19" s="12">
        <v>-254159</v>
      </c>
      <c r="T19" s="39" t="s">
        <v>8</v>
      </c>
      <c r="U19" s="6">
        <v>-65626</v>
      </c>
      <c r="V19" s="6">
        <v>-73816</v>
      </c>
      <c r="W19" s="6">
        <v>-61695</v>
      </c>
      <c r="X19" s="6">
        <v>-63904</v>
      </c>
      <c r="Y19" s="6">
        <v>-67844</v>
      </c>
      <c r="Z19" s="6">
        <v>-59339</v>
      </c>
      <c r="AA19" s="6">
        <v>-68220</v>
      </c>
      <c r="AB19" s="6">
        <v>-44430</v>
      </c>
      <c r="AC19" s="6">
        <v>-43357</v>
      </c>
      <c r="AD19" s="6">
        <v>-61402</v>
      </c>
      <c r="AE19" s="6">
        <v>-52138</v>
      </c>
      <c r="AF19" s="6">
        <v>-70907</v>
      </c>
      <c r="AG19" s="6">
        <v>-59501</v>
      </c>
      <c r="AH19" s="6">
        <v>-62779</v>
      </c>
      <c r="AI19" s="6">
        <v>-69176</v>
      </c>
      <c r="AJ19" s="6">
        <v>-62703</v>
      </c>
      <c r="AK19" s="84"/>
      <c r="AL19" s="85"/>
    </row>
    <row r="20" spans="1:38" ht="24">
      <c r="A20" s="41" t="s">
        <v>9</v>
      </c>
      <c r="B20" s="41" t="s">
        <v>112</v>
      </c>
      <c r="C20" s="12">
        <v>-73</v>
      </c>
      <c r="D20" s="12">
        <v>-349</v>
      </c>
      <c r="E20" s="12">
        <v>-351</v>
      </c>
      <c r="F20" s="12">
        <v>-430</v>
      </c>
      <c r="G20" s="12">
        <v>6</v>
      </c>
      <c r="H20" s="12">
        <v>6</v>
      </c>
      <c r="I20" s="12">
        <v>-610</v>
      </c>
      <c r="J20" s="12">
        <v>-1400</v>
      </c>
      <c r="K20" s="12">
        <v>-971</v>
      </c>
      <c r="L20" s="12">
        <v>-1313</v>
      </c>
      <c r="M20" s="12">
        <v>-2646</v>
      </c>
      <c r="N20" s="12">
        <v>-3390</v>
      </c>
      <c r="O20" s="12">
        <v>-230</v>
      </c>
      <c r="P20" s="12">
        <v>-421</v>
      </c>
      <c r="Q20" s="12">
        <v>-943</v>
      </c>
      <c r="R20" s="12">
        <v>-1199</v>
      </c>
      <c r="T20" s="39" t="s">
        <v>9</v>
      </c>
      <c r="U20" s="6">
        <v>-73</v>
      </c>
      <c r="V20" s="6">
        <v>-276</v>
      </c>
      <c r="W20" s="6">
        <v>-2</v>
      </c>
      <c r="X20" s="6">
        <v>-79</v>
      </c>
      <c r="Y20" s="6">
        <v>6</v>
      </c>
      <c r="Z20" s="6">
        <v>0</v>
      </c>
      <c r="AA20" s="6">
        <v>-616</v>
      </c>
      <c r="AB20" s="6">
        <v>-790</v>
      </c>
      <c r="AC20" s="6">
        <v>-971</v>
      </c>
      <c r="AD20" s="6">
        <v>-342</v>
      </c>
      <c r="AE20" s="6">
        <v>-1333</v>
      </c>
      <c r="AF20" s="6">
        <v>-744</v>
      </c>
      <c r="AG20" s="6">
        <v>-230</v>
      </c>
      <c r="AH20" s="6">
        <v>-191</v>
      </c>
      <c r="AI20" s="6">
        <v>-522</v>
      </c>
      <c r="AJ20" s="6">
        <v>-256</v>
      </c>
      <c r="AK20" s="86"/>
      <c r="AL20" s="87"/>
    </row>
    <row r="21" spans="1:38" ht="16.399999999999999" customHeight="1">
      <c r="A21" s="43" t="s">
        <v>12</v>
      </c>
      <c r="B21" s="43" t="s">
        <v>113</v>
      </c>
      <c r="C21" s="13">
        <f t="shared" ref="C21:K21" si="5">SUM(C19:C20,C18,C15)</f>
        <v>203397</v>
      </c>
      <c r="D21" s="13">
        <f t="shared" si="5"/>
        <v>417287</v>
      </c>
      <c r="E21" s="13">
        <f t="shared" si="5"/>
        <v>640977</v>
      </c>
      <c r="F21" s="13">
        <f t="shared" si="5"/>
        <v>838705</v>
      </c>
      <c r="G21" s="13">
        <f t="shared" si="5"/>
        <v>203271</v>
      </c>
      <c r="H21" s="13">
        <f t="shared" si="5"/>
        <v>416355</v>
      </c>
      <c r="I21" s="13">
        <f t="shared" si="5"/>
        <v>622220</v>
      </c>
      <c r="J21" s="13">
        <f t="shared" si="5"/>
        <v>688892</v>
      </c>
      <c r="K21" s="13">
        <f t="shared" si="5"/>
        <v>222976</v>
      </c>
      <c r="L21" s="13">
        <f t="shared" ref="L21:Q21" si="6">SUM(L19:L20,L18,L15)</f>
        <v>661155</v>
      </c>
      <c r="M21" s="13">
        <f t="shared" si="6"/>
        <v>900790</v>
      </c>
      <c r="N21" s="13">
        <f t="shared" si="6"/>
        <v>1128701</v>
      </c>
      <c r="O21" s="13">
        <f t="shared" si="6"/>
        <v>248684</v>
      </c>
      <c r="P21" s="13">
        <f t="shared" si="6"/>
        <v>527410</v>
      </c>
      <c r="Q21" s="13">
        <f t="shared" si="6"/>
        <v>824821</v>
      </c>
      <c r="R21" s="13">
        <f>SUM(R19:R20,R18,R15)</f>
        <v>1113549</v>
      </c>
      <c r="T21" s="49" t="s">
        <v>12</v>
      </c>
      <c r="U21" s="7">
        <v>203397</v>
      </c>
      <c r="V21" s="7">
        <v>213890</v>
      </c>
      <c r="W21" s="7">
        <v>223690</v>
      </c>
      <c r="X21" s="7">
        <v>197728</v>
      </c>
      <c r="Y21" s="7">
        <v>203271</v>
      </c>
      <c r="Z21" s="7">
        <v>213084</v>
      </c>
      <c r="AA21" s="7">
        <v>205865</v>
      </c>
      <c r="AB21" s="7">
        <v>66672</v>
      </c>
      <c r="AC21" s="7">
        <v>222976</v>
      </c>
      <c r="AD21" s="7">
        <v>438179</v>
      </c>
      <c r="AE21" s="7">
        <v>239635</v>
      </c>
      <c r="AF21" s="7">
        <v>227911</v>
      </c>
      <c r="AG21" s="7">
        <v>248684</v>
      </c>
      <c r="AH21" s="7">
        <v>278726</v>
      </c>
      <c r="AI21" s="7">
        <v>297411</v>
      </c>
      <c r="AJ21" s="7">
        <v>288728</v>
      </c>
      <c r="AK21" s="86"/>
      <c r="AL21" s="87"/>
    </row>
    <row r="22" spans="1:38" ht="15" customHeight="1">
      <c r="A22" s="41" t="s">
        <v>13</v>
      </c>
      <c r="B22" s="41" t="s">
        <v>114</v>
      </c>
      <c r="C22" s="12">
        <v>0</v>
      </c>
      <c r="D22" s="12">
        <v>0</v>
      </c>
      <c r="E22" s="12">
        <v>0</v>
      </c>
      <c r="F22" s="12">
        <v>-246</v>
      </c>
      <c r="G22" s="12">
        <v>-1426</v>
      </c>
      <c r="H22" s="12">
        <v>-1385</v>
      </c>
      <c r="I22" s="12">
        <v>-1385</v>
      </c>
      <c r="J22" s="12">
        <v>-1385</v>
      </c>
      <c r="K22" s="12">
        <v>0</v>
      </c>
      <c r="L22" s="12">
        <v>0</v>
      </c>
      <c r="M22" s="12">
        <v>0</v>
      </c>
      <c r="N22" s="12">
        <v>-1376</v>
      </c>
      <c r="O22" s="12">
        <v>0</v>
      </c>
      <c r="P22" s="12">
        <v>0</v>
      </c>
      <c r="Q22" s="12">
        <v>0</v>
      </c>
      <c r="R22" s="12">
        <v>0</v>
      </c>
      <c r="T22" s="39" t="s">
        <v>13</v>
      </c>
      <c r="U22" s="6">
        <v>0</v>
      </c>
      <c r="V22" s="6">
        <v>0</v>
      </c>
      <c r="W22" s="6">
        <v>0</v>
      </c>
      <c r="X22" s="6">
        <v>-246</v>
      </c>
      <c r="Y22" s="6">
        <v>-1426</v>
      </c>
      <c r="Z22" s="6">
        <v>41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-1376</v>
      </c>
      <c r="AG22" s="6">
        <v>0</v>
      </c>
      <c r="AH22" s="6">
        <v>0</v>
      </c>
      <c r="AI22" s="6">
        <v>0</v>
      </c>
      <c r="AJ22" s="6">
        <v>0</v>
      </c>
      <c r="AK22" s="84"/>
      <c r="AL22" s="85"/>
    </row>
    <row r="23" spans="1:38" ht="15" customHeight="1">
      <c r="A23" s="41" t="s">
        <v>247</v>
      </c>
      <c r="B23" s="41" t="s">
        <v>248</v>
      </c>
      <c r="C23" s="12"/>
      <c r="D23" s="12"/>
      <c r="E23" s="12"/>
      <c r="F23" s="12"/>
      <c r="G23" s="12"/>
      <c r="H23" s="12"/>
      <c r="I23" s="12"/>
      <c r="J23" s="12"/>
      <c r="K23" s="12">
        <v>-32289</v>
      </c>
      <c r="L23" s="12">
        <v>-80536</v>
      </c>
      <c r="M23" s="12">
        <v>-127942</v>
      </c>
      <c r="N23" s="12">
        <v>-174069</v>
      </c>
      <c r="O23" s="12">
        <v>-47230</v>
      </c>
      <c r="P23" s="12">
        <v>-93680</v>
      </c>
      <c r="Q23" s="12">
        <v>-140056</v>
      </c>
      <c r="R23" s="12">
        <v>-188326</v>
      </c>
      <c r="T23" s="39" t="s">
        <v>247</v>
      </c>
      <c r="U23" s="6"/>
      <c r="V23" s="6"/>
      <c r="W23" s="6"/>
      <c r="X23" s="6"/>
      <c r="Y23" s="6"/>
      <c r="Z23" s="6"/>
      <c r="AA23" s="6"/>
      <c r="AB23" s="6"/>
      <c r="AC23" s="6">
        <v>-32289</v>
      </c>
      <c r="AD23" s="6">
        <v>-48247</v>
      </c>
      <c r="AE23" s="6">
        <v>-47406</v>
      </c>
      <c r="AF23" s="6">
        <v>-46127</v>
      </c>
      <c r="AG23" s="6">
        <v>-47230</v>
      </c>
      <c r="AH23" s="6">
        <v>-46450</v>
      </c>
      <c r="AI23" s="6">
        <v>-46376</v>
      </c>
      <c r="AJ23" s="6">
        <v>-48270</v>
      </c>
      <c r="AK23" s="86"/>
      <c r="AL23" s="87"/>
    </row>
    <row r="24" spans="1:38" ht="16.399999999999999" customHeight="1">
      <c r="A24" s="43" t="s">
        <v>14</v>
      </c>
      <c r="B24" s="43" t="s">
        <v>115</v>
      </c>
      <c r="C24" s="13">
        <f t="shared" ref="C24:J24" si="7">C21+C22</f>
        <v>203397</v>
      </c>
      <c r="D24" s="13">
        <f t="shared" si="7"/>
        <v>417287</v>
      </c>
      <c r="E24" s="13">
        <f t="shared" si="7"/>
        <v>640977</v>
      </c>
      <c r="F24" s="13">
        <f t="shared" si="7"/>
        <v>838459</v>
      </c>
      <c r="G24" s="13">
        <f t="shared" si="7"/>
        <v>201845</v>
      </c>
      <c r="H24" s="13">
        <f t="shared" si="7"/>
        <v>414970</v>
      </c>
      <c r="I24" s="13">
        <f t="shared" si="7"/>
        <v>620835</v>
      </c>
      <c r="J24" s="13">
        <f t="shared" si="7"/>
        <v>687507</v>
      </c>
      <c r="K24" s="13">
        <f t="shared" ref="K24:Q24" si="8">K21+K22+K23</f>
        <v>190687</v>
      </c>
      <c r="L24" s="13">
        <f t="shared" si="8"/>
        <v>580619</v>
      </c>
      <c r="M24" s="13">
        <f t="shared" si="8"/>
        <v>772848</v>
      </c>
      <c r="N24" s="13">
        <f t="shared" si="8"/>
        <v>953256</v>
      </c>
      <c r="O24" s="13">
        <f t="shared" si="8"/>
        <v>201454</v>
      </c>
      <c r="P24" s="13">
        <f t="shared" si="8"/>
        <v>433730</v>
      </c>
      <c r="Q24" s="13">
        <f t="shared" si="8"/>
        <v>684765</v>
      </c>
      <c r="R24" s="13">
        <f>R21+R22+R23</f>
        <v>925223</v>
      </c>
      <c r="T24" s="49" t="s">
        <v>14</v>
      </c>
      <c r="U24" s="7">
        <v>203397</v>
      </c>
      <c r="V24" s="7">
        <v>213890</v>
      </c>
      <c r="W24" s="7">
        <v>223690</v>
      </c>
      <c r="X24" s="7">
        <v>197482</v>
      </c>
      <c r="Y24" s="7">
        <v>201845</v>
      </c>
      <c r="Z24" s="7">
        <v>213125</v>
      </c>
      <c r="AA24" s="7">
        <v>205865</v>
      </c>
      <c r="AB24" s="7">
        <v>66672</v>
      </c>
      <c r="AC24" s="7">
        <v>190687</v>
      </c>
      <c r="AD24" s="7">
        <v>389932</v>
      </c>
      <c r="AE24" s="7">
        <v>192229</v>
      </c>
      <c r="AF24" s="7">
        <v>180408</v>
      </c>
      <c r="AG24" s="7">
        <v>201454</v>
      </c>
      <c r="AH24" s="7">
        <v>232276</v>
      </c>
      <c r="AI24" s="7">
        <v>251035</v>
      </c>
      <c r="AJ24" s="7">
        <v>240458</v>
      </c>
      <c r="AK24" s="84"/>
      <c r="AL24" s="85"/>
    </row>
    <row r="25" spans="1:38" ht="12.5" thickBot="1">
      <c r="A25" s="44" t="s">
        <v>15</v>
      </c>
      <c r="B25" s="44" t="s">
        <v>117</v>
      </c>
      <c r="C25" s="15">
        <v>-46949</v>
      </c>
      <c r="D25" s="15">
        <v>-97223</v>
      </c>
      <c r="E25" s="15">
        <v>-147729</v>
      </c>
      <c r="F25" s="15">
        <v>-187539</v>
      </c>
      <c r="G25" s="15">
        <v>-39276</v>
      </c>
      <c r="H25" s="15">
        <v>-87163</v>
      </c>
      <c r="I25" s="15">
        <v>-127353</v>
      </c>
      <c r="J25" s="15">
        <v>-140982</v>
      </c>
      <c r="K25" s="15">
        <v>-53502</v>
      </c>
      <c r="L25" s="15">
        <v>-149670</v>
      </c>
      <c r="M25" s="15">
        <v>-203087</v>
      </c>
      <c r="N25" s="15">
        <v>-252004</v>
      </c>
      <c r="O25" s="15">
        <v>-60956</v>
      </c>
      <c r="P25" s="15">
        <v>-119634</v>
      </c>
      <c r="Q25" s="15">
        <v>-183185</v>
      </c>
      <c r="R25" s="15">
        <v>-243996</v>
      </c>
      <c r="T25" s="50" t="s">
        <v>15</v>
      </c>
      <c r="U25" s="9">
        <v>-46949</v>
      </c>
      <c r="V25" s="9">
        <v>-50274</v>
      </c>
      <c r="W25" s="9">
        <v>-50506</v>
      </c>
      <c r="X25" s="9">
        <v>-39810</v>
      </c>
      <c r="Y25" s="9">
        <v>-39276</v>
      </c>
      <c r="Z25" s="9">
        <v>-47887</v>
      </c>
      <c r="AA25" s="9">
        <v>-40190</v>
      </c>
      <c r="AB25" s="9">
        <v>-13629</v>
      </c>
      <c r="AC25" s="9">
        <v>-53502</v>
      </c>
      <c r="AD25" s="9">
        <v>-96168</v>
      </c>
      <c r="AE25" s="9">
        <v>-53417</v>
      </c>
      <c r="AF25" s="9">
        <v>-48917</v>
      </c>
      <c r="AG25" s="9">
        <v>-60956</v>
      </c>
      <c r="AH25" s="9">
        <v>-58678</v>
      </c>
      <c r="AI25" s="9">
        <v>-63551</v>
      </c>
      <c r="AJ25" s="9">
        <v>-60811</v>
      </c>
      <c r="AK25" s="86"/>
      <c r="AL25" s="87"/>
    </row>
    <row r="26" spans="1:38" ht="16.399999999999999" customHeight="1" thickBot="1">
      <c r="A26" s="45" t="s">
        <v>16</v>
      </c>
      <c r="B26" s="45" t="s">
        <v>116</v>
      </c>
      <c r="C26" s="3">
        <f t="shared" ref="C26:K26" si="9">+C25+C24</f>
        <v>156448</v>
      </c>
      <c r="D26" s="3">
        <f t="shared" si="9"/>
        <v>320064</v>
      </c>
      <c r="E26" s="3">
        <f t="shared" si="9"/>
        <v>493248</v>
      </c>
      <c r="F26" s="3">
        <f t="shared" si="9"/>
        <v>650920</v>
      </c>
      <c r="G26" s="3">
        <f t="shared" si="9"/>
        <v>162569</v>
      </c>
      <c r="H26" s="3">
        <f t="shared" si="9"/>
        <v>327807</v>
      </c>
      <c r="I26" s="3">
        <f t="shared" si="9"/>
        <v>493482</v>
      </c>
      <c r="J26" s="3">
        <f t="shared" si="9"/>
        <v>546525</v>
      </c>
      <c r="K26" s="3">
        <f t="shared" si="9"/>
        <v>137185</v>
      </c>
      <c r="L26" s="3">
        <f t="shared" ref="L26:Q26" si="10">+L25+L24</f>
        <v>430949</v>
      </c>
      <c r="M26" s="3">
        <f t="shared" si="10"/>
        <v>569761</v>
      </c>
      <c r="N26" s="3">
        <f t="shared" si="10"/>
        <v>701252</v>
      </c>
      <c r="O26" s="3">
        <f t="shared" si="10"/>
        <v>140498</v>
      </c>
      <c r="P26" s="3">
        <f t="shared" si="10"/>
        <v>314096</v>
      </c>
      <c r="Q26" s="3">
        <f t="shared" si="10"/>
        <v>501580</v>
      </c>
      <c r="R26" s="3">
        <f>+R25+R24</f>
        <v>681227</v>
      </c>
      <c r="T26" s="40" t="s">
        <v>16</v>
      </c>
      <c r="U26" s="3">
        <v>156448</v>
      </c>
      <c r="V26" s="3">
        <v>163616</v>
      </c>
      <c r="W26" s="3">
        <v>173184</v>
      </c>
      <c r="X26" s="3">
        <v>157672</v>
      </c>
      <c r="Y26" s="3">
        <v>162569</v>
      </c>
      <c r="Z26" s="3">
        <v>165238</v>
      </c>
      <c r="AA26" s="3">
        <v>165675</v>
      </c>
      <c r="AB26" s="3">
        <v>53043</v>
      </c>
      <c r="AC26" s="3">
        <v>137185</v>
      </c>
      <c r="AD26" s="3">
        <v>293764</v>
      </c>
      <c r="AE26" s="3">
        <v>138812</v>
      </c>
      <c r="AF26" s="3">
        <v>131491</v>
      </c>
      <c r="AG26" s="3">
        <v>140498</v>
      </c>
      <c r="AH26" s="3">
        <v>173598</v>
      </c>
      <c r="AI26" s="3">
        <v>187484</v>
      </c>
      <c r="AJ26" s="3">
        <v>179647</v>
      </c>
      <c r="AK26" s="84"/>
      <c r="AL26" s="85"/>
    </row>
    <row r="27" spans="1:38">
      <c r="A27" s="42" t="s">
        <v>17</v>
      </c>
      <c r="B27" s="42" t="s">
        <v>92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T27" s="51" t="s">
        <v>17</v>
      </c>
      <c r="U27" s="10"/>
      <c r="V27" s="10"/>
      <c r="W27" s="10"/>
      <c r="X27" s="10"/>
      <c r="Y27" s="10"/>
      <c r="Z27" s="10">
        <v>0</v>
      </c>
      <c r="AA27" s="10"/>
      <c r="AB27" s="10"/>
      <c r="AC27" s="10"/>
      <c r="AD27" s="10"/>
      <c r="AE27" s="10">
        <v>0</v>
      </c>
      <c r="AF27" s="10"/>
      <c r="AG27" s="10"/>
      <c r="AH27" s="10"/>
      <c r="AI27" s="10"/>
      <c r="AJ27" s="10"/>
      <c r="AK27" s="89"/>
      <c r="AL27" s="85"/>
    </row>
    <row r="28" spans="1:38" ht="14.9" customHeight="1">
      <c r="A28" s="46" t="s">
        <v>18</v>
      </c>
      <c r="B28" s="46" t="s">
        <v>93</v>
      </c>
      <c r="C28" s="12">
        <v>156448</v>
      </c>
      <c r="D28" s="12">
        <v>320064</v>
      </c>
      <c r="E28" s="12">
        <v>493248</v>
      </c>
      <c r="F28" s="12">
        <v>650920</v>
      </c>
      <c r="G28" s="12">
        <v>162569</v>
      </c>
      <c r="H28" s="12">
        <v>327807</v>
      </c>
      <c r="I28" s="12">
        <v>493482</v>
      </c>
      <c r="J28" s="12">
        <v>546525</v>
      </c>
      <c r="K28" s="12">
        <v>137185</v>
      </c>
      <c r="L28" s="12">
        <v>430949</v>
      </c>
      <c r="M28" s="12">
        <v>569761</v>
      </c>
      <c r="N28" s="12">
        <f>+N26</f>
        <v>701252</v>
      </c>
      <c r="O28" s="12">
        <f>+O26</f>
        <v>140498</v>
      </c>
      <c r="P28" s="12">
        <v>314096</v>
      </c>
      <c r="Q28" s="12">
        <f>+Q26</f>
        <v>501580</v>
      </c>
      <c r="R28" s="12">
        <f>+R26</f>
        <v>681227</v>
      </c>
      <c r="T28" s="52" t="s">
        <v>18</v>
      </c>
      <c r="U28" s="6">
        <v>156448</v>
      </c>
      <c r="V28" s="6">
        <v>163616</v>
      </c>
      <c r="W28" s="6">
        <v>173184</v>
      </c>
      <c r="X28" s="6">
        <v>157672</v>
      </c>
      <c r="Y28" s="6">
        <v>162569</v>
      </c>
      <c r="Z28" s="6">
        <v>165238</v>
      </c>
      <c r="AA28" s="6">
        <v>165675</v>
      </c>
      <c r="AB28" s="6">
        <v>53043</v>
      </c>
      <c r="AC28" s="6">
        <v>137185</v>
      </c>
      <c r="AD28" s="6">
        <v>293764</v>
      </c>
      <c r="AE28" s="6">
        <v>138812</v>
      </c>
      <c r="AF28" s="6">
        <v>131491</v>
      </c>
      <c r="AG28" s="6">
        <v>140498</v>
      </c>
      <c r="AH28" s="6">
        <v>173598</v>
      </c>
      <c r="AI28" s="6">
        <v>187484</v>
      </c>
      <c r="AJ28" s="6">
        <v>179647</v>
      </c>
      <c r="AK28" s="89"/>
      <c r="AL28" s="85"/>
    </row>
    <row r="29" spans="1:38" ht="14.9" customHeight="1">
      <c r="A29" s="46" t="s">
        <v>19</v>
      </c>
      <c r="B29" s="46" t="s">
        <v>94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T29" s="52" t="s">
        <v>19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90"/>
      <c r="AL29" s="56"/>
    </row>
    <row r="30" spans="1:38" ht="17.899999999999999" customHeight="1" thickBot="1">
      <c r="A30" s="47" t="s">
        <v>20</v>
      </c>
      <c r="B30" s="47" t="s">
        <v>95</v>
      </c>
      <c r="C30" s="17">
        <v>1213116777</v>
      </c>
      <c r="D30" s="17">
        <v>1213116777</v>
      </c>
      <c r="E30" s="17">
        <v>1213116777</v>
      </c>
      <c r="F30" s="17">
        <v>1213116777</v>
      </c>
      <c r="G30" s="17">
        <v>1213116777</v>
      </c>
      <c r="H30" s="17">
        <v>1213116777</v>
      </c>
      <c r="I30" s="17">
        <v>1213116777</v>
      </c>
      <c r="J30" s="17">
        <v>1213116777</v>
      </c>
      <c r="K30" s="17">
        <v>1213116777</v>
      </c>
      <c r="L30" s="17">
        <v>1213116777</v>
      </c>
      <c r="M30" s="17">
        <v>1213116777</v>
      </c>
      <c r="N30" s="17">
        <v>1213116777</v>
      </c>
      <c r="O30" s="17">
        <v>1213116777</v>
      </c>
      <c r="P30" s="17">
        <v>1213116777</v>
      </c>
      <c r="Q30" s="17">
        <v>1213116777</v>
      </c>
      <c r="R30" s="17">
        <v>1213116777</v>
      </c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K30" s="90"/>
      <c r="AL30" s="57"/>
    </row>
    <row r="31" spans="1:38" ht="12.5" thickBot="1">
      <c r="A31" s="48" t="s">
        <v>21</v>
      </c>
      <c r="B31" s="48" t="s">
        <v>96</v>
      </c>
      <c r="C31" s="18">
        <v>0.12896367684147525</v>
      </c>
      <c r="D31" s="18">
        <v>0.26383610058671214</v>
      </c>
      <c r="E31" s="18">
        <v>0.40659564631509504</v>
      </c>
      <c r="F31" s="18">
        <v>0.53656829444705634</v>
      </c>
      <c r="G31" s="18">
        <v>0.1340093576168554</v>
      </c>
      <c r="H31" s="18">
        <v>0.27021883318657625</v>
      </c>
      <c r="I31" s="18">
        <v>0.40678853788533503</v>
      </c>
      <c r="J31" s="18">
        <v>0.45051310010858087</v>
      </c>
      <c r="K31" s="18">
        <v>0.1130847438605657</v>
      </c>
      <c r="L31" s="18">
        <v>0.35524115086902308</v>
      </c>
      <c r="M31" s="18">
        <v>0.46966706816882148</v>
      </c>
      <c r="N31" s="18">
        <f>+N28*1000/N30</f>
        <v>0.57805811715354749</v>
      </c>
      <c r="O31" s="18">
        <f>+O28*1000/O30</f>
        <v>0.11581572579306601</v>
      </c>
      <c r="P31" s="18">
        <v>0.25891654122264274</v>
      </c>
      <c r="Q31" s="18">
        <f>+Q28*1000/Q30</f>
        <v>0.41346390513235809</v>
      </c>
      <c r="R31" s="18">
        <f>+R28*1000/R30</f>
        <v>0.56155105008493345</v>
      </c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K31" s="91"/>
      <c r="AL31" s="91"/>
    </row>
    <row r="32" spans="1:38">
      <c r="A32" s="1" t="s">
        <v>81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K32" s="1"/>
      <c r="AL32" s="1"/>
    </row>
    <row r="33" spans="1:36">
      <c r="A33" s="1" t="s">
        <v>30</v>
      </c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</row>
    <row r="34" spans="1:36">
      <c r="A34" s="1" t="s">
        <v>29</v>
      </c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</row>
    <row r="35" spans="1:36" ht="12.5"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</row>
    <row r="36" spans="1:36">
      <c r="A36" s="93" t="s">
        <v>266</v>
      </c>
      <c r="B36" s="93" t="s">
        <v>269</v>
      </c>
      <c r="C36" s="12"/>
      <c r="D36" s="12"/>
      <c r="E36" s="12"/>
      <c r="F36" s="12"/>
      <c r="G36" s="12"/>
      <c r="H36" s="12"/>
      <c r="I36" s="12"/>
      <c r="J36" s="12"/>
      <c r="K36" s="12">
        <v>13626</v>
      </c>
      <c r="L36" s="12">
        <v>22302</v>
      </c>
      <c r="M36" s="12">
        <v>32485</v>
      </c>
      <c r="N36" s="12">
        <v>50613</v>
      </c>
      <c r="O36" s="6">
        <v>17675</v>
      </c>
      <c r="P36" s="12">
        <v>26810</v>
      </c>
      <c r="Q36" s="12">
        <v>35152</v>
      </c>
      <c r="R36" s="12">
        <v>40392</v>
      </c>
      <c r="T36" s="39" t="s">
        <v>266</v>
      </c>
      <c r="U36" s="6">
        <v>1178</v>
      </c>
      <c r="V36" s="6">
        <v>1500</v>
      </c>
      <c r="W36" s="6">
        <v>2870</v>
      </c>
      <c r="X36" s="6">
        <v>5303.0000000000009</v>
      </c>
      <c r="Y36" s="6">
        <v>17766</v>
      </c>
      <c r="Z36" s="6">
        <v>14943.000000000005</v>
      </c>
      <c r="AA36" s="6">
        <v>8483.9999999999945</v>
      </c>
      <c r="AB36" s="6">
        <v>12224.000000000004</v>
      </c>
      <c r="AC36" s="6">
        <v>13626</v>
      </c>
      <c r="AD36" s="6">
        <v>8676</v>
      </c>
      <c r="AE36" s="6">
        <v>10183.000000000002</v>
      </c>
      <c r="AF36" s="6">
        <v>18128</v>
      </c>
      <c r="AG36" s="6">
        <v>17675</v>
      </c>
      <c r="AH36" s="6">
        <v>9135</v>
      </c>
      <c r="AI36" s="6">
        <v>8342</v>
      </c>
      <c r="AJ36" s="6">
        <v>5240</v>
      </c>
    </row>
    <row r="37" spans="1:36">
      <c r="A37" s="93" t="s">
        <v>264</v>
      </c>
      <c r="B37" s="93" t="s">
        <v>271</v>
      </c>
      <c r="C37" s="12"/>
      <c r="D37" s="12"/>
      <c r="E37" s="12"/>
      <c r="F37" s="12"/>
      <c r="G37" s="12"/>
      <c r="H37" s="12"/>
      <c r="I37" s="12"/>
      <c r="J37" s="12"/>
      <c r="K37" s="12">
        <f t="shared" ref="K37:Q37" si="11">K3-K36</f>
        <v>556667</v>
      </c>
      <c r="L37" s="12">
        <f t="shared" si="11"/>
        <v>1131300</v>
      </c>
      <c r="M37" s="12">
        <f t="shared" si="11"/>
        <v>1702569</v>
      </c>
      <c r="N37" s="12">
        <f t="shared" si="11"/>
        <v>2277354</v>
      </c>
      <c r="O37" s="12">
        <f t="shared" si="11"/>
        <v>576350</v>
      </c>
      <c r="P37" s="12">
        <f t="shared" si="11"/>
        <v>1169772</v>
      </c>
      <c r="Q37" s="12">
        <f t="shared" si="11"/>
        <v>1783024</v>
      </c>
      <c r="R37" s="12">
        <f>R3-R36</f>
        <v>2398938</v>
      </c>
      <c r="T37" s="39" t="s">
        <v>264</v>
      </c>
      <c r="U37" s="10">
        <f>+U36-U69</f>
        <v>1178</v>
      </c>
      <c r="V37" s="10">
        <f t="shared" ref="V37:AB37" si="12">+V36-V69</f>
        <v>1500</v>
      </c>
      <c r="W37" s="10">
        <f t="shared" si="12"/>
        <v>2870</v>
      </c>
      <c r="X37" s="10">
        <f t="shared" si="12"/>
        <v>5303.0000000000009</v>
      </c>
      <c r="Y37" s="10">
        <f t="shared" si="12"/>
        <v>17766</v>
      </c>
      <c r="Z37" s="10">
        <f t="shared" si="12"/>
        <v>14943.000000000005</v>
      </c>
      <c r="AA37" s="10">
        <f t="shared" si="12"/>
        <v>8483.9999999999945</v>
      </c>
      <c r="AB37" s="10">
        <f t="shared" si="12"/>
        <v>12224.000000000004</v>
      </c>
      <c r="AC37" s="10">
        <f t="shared" ref="AC37:AI37" si="13">AC3-AC36</f>
        <v>556667</v>
      </c>
      <c r="AD37" s="10">
        <f t="shared" si="13"/>
        <v>574633</v>
      </c>
      <c r="AE37" s="10">
        <f t="shared" si="13"/>
        <v>571269</v>
      </c>
      <c r="AF37" s="10">
        <f t="shared" si="13"/>
        <v>574785</v>
      </c>
      <c r="AG37" s="10">
        <f t="shared" si="13"/>
        <v>576350</v>
      </c>
      <c r="AH37" s="10">
        <f t="shared" si="13"/>
        <v>593422</v>
      </c>
      <c r="AI37" s="10">
        <f t="shared" si="13"/>
        <v>613252</v>
      </c>
      <c r="AJ37" s="10">
        <f>AJ3-AJ36</f>
        <v>615914</v>
      </c>
    </row>
    <row r="38" spans="1:36">
      <c r="A38" s="93" t="s">
        <v>265</v>
      </c>
      <c r="B38" s="93" t="s">
        <v>270</v>
      </c>
      <c r="C38" s="12"/>
      <c r="D38" s="12"/>
      <c r="E38" s="12"/>
      <c r="F38" s="12"/>
      <c r="G38" s="12"/>
      <c r="H38" s="12"/>
      <c r="I38" s="12"/>
      <c r="J38" s="12"/>
      <c r="K38" s="12">
        <f t="shared" ref="K38:P38" si="14">K5-K36</f>
        <v>351136</v>
      </c>
      <c r="L38" s="12">
        <f t="shared" si="14"/>
        <v>733693</v>
      </c>
      <c r="M38" s="12">
        <f t="shared" si="14"/>
        <v>1116664</v>
      </c>
      <c r="N38" s="12">
        <f t="shared" si="14"/>
        <v>1505838</v>
      </c>
      <c r="O38" s="12">
        <f t="shared" si="14"/>
        <v>393488</v>
      </c>
      <c r="P38" s="12">
        <f t="shared" si="14"/>
        <v>814257</v>
      </c>
      <c r="Q38" s="12">
        <f>Q5-Q36</f>
        <v>1252538</v>
      </c>
      <c r="R38" s="12">
        <f>R5-R36</f>
        <v>1696468</v>
      </c>
      <c r="T38" s="39" t="s">
        <v>265</v>
      </c>
      <c r="U38" s="10"/>
      <c r="V38" s="10"/>
      <c r="W38" s="10"/>
      <c r="X38" s="10"/>
      <c r="Y38" s="10"/>
      <c r="Z38" s="10"/>
      <c r="AA38" s="10"/>
      <c r="AB38" s="10"/>
      <c r="AC38" s="10">
        <f t="shared" ref="AC38:AH38" si="15">AC5-AC36</f>
        <v>351136</v>
      </c>
      <c r="AD38" s="10">
        <f t="shared" si="15"/>
        <v>382557</v>
      </c>
      <c r="AE38" s="10">
        <f t="shared" si="15"/>
        <v>382971</v>
      </c>
      <c r="AF38" s="10">
        <f t="shared" si="15"/>
        <v>389174</v>
      </c>
      <c r="AG38" s="10">
        <f t="shared" si="15"/>
        <v>393488</v>
      </c>
      <c r="AH38" s="10">
        <f t="shared" si="15"/>
        <v>420769</v>
      </c>
      <c r="AI38" s="10">
        <f>AI5-AI36</f>
        <v>438281</v>
      </c>
      <c r="AJ38" s="10">
        <f>AJ5-AJ36</f>
        <v>443930</v>
      </c>
    </row>
    <row r="39" spans="1:36" ht="24">
      <c r="A39" s="93" t="s">
        <v>268</v>
      </c>
      <c r="B39" s="93" t="s">
        <v>272</v>
      </c>
      <c r="C39" s="12"/>
      <c r="D39" s="12"/>
      <c r="E39" s="12"/>
      <c r="F39" s="12"/>
      <c r="G39" s="12"/>
      <c r="H39" s="12"/>
      <c r="I39" s="12"/>
      <c r="J39" s="12"/>
      <c r="K39" s="12">
        <f t="shared" ref="K39:P39" si="16">K11+K36</f>
        <v>11352</v>
      </c>
      <c r="L39" s="12">
        <f t="shared" si="16"/>
        <v>19905</v>
      </c>
      <c r="M39" s="12">
        <f t="shared" si="16"/>
        <v>23623</v>
      </c>
      <c r="N39" s="12">
        <f t="shared" si="16"/>
        <v>41521</v>
      </c>
      <c r="O39" s="12">
        <f t="shared" si="16"/>
        <v>12582</v>
      </c>
      <c r="P39" s="12">
        <f t="shared" si="16"/>
        <v>18964</v>
      </c>
      <c r="Q39" s="12">
        <f>Q11+Q36</f>
        <v>23353</v>
      </c>
      <c r="R39" s="12">
        <f>R11+R36</f>
        <v>22203</v>
      </c>
      <c r="T39" s="39" t="s">
        <v>268</v>
      </c>
      <c r="U39" s="6">
        <f>+U37+U60</f>
        <v>1178</v>
      </c>
      <c r="V39" s="6">
        <f t="shared" ref="V39:AB39" si="17">+V37+V60</f>
        <v>1500</v>
      </c>
      <c r="W39" s="6">
        <f t="shared" si="17"/>
        <v>2870</v>
      </c>
      <c r="X39" s="6">
        <f t="shared" si="17"/>
        <v>5303.0000000000009</v>
      </c>
      <c r="Y39" s="6">
        <f t="shared" si="17"/>
        <v>17766</v>
      </c>
      <c r="Z39" s="6">
        <f t="shared" si="17"/>
        <v>14943.000000000005</v>
      </c>
      <c r="AA39" s="6">
        <f t="shared" si="17"/>
        <v>8483.9999999999945</v>
      </c>
      <c r="AB39" s="6">
        <f t="shared" si="17"/>
        <v>12224.000000000004</v>
      </c>
      <c r="AC39" s="6">
        <f t="shared" ref="AC39:AH39" si="18">AC11+AC36</f>
        <v>11352</v>
      </c>
      <c r="AD39" s="6">
        <f t="shared" si="18"/>
        <v>8553</v>
      </c>
      <c r="AE39" s="6">
        <f t="shared" si="18"/>
        <v>3718.0000000000018</v>
      </c>
      <c r="AF39" s="6">
        <f t="shared" si="18"/>
        <v>17898</v>
      </c>
      <c r="AG39" s="6">
        <f t="shared" si="18"/>
        <v>12582</v>
      </c>
      <c r="AH39" s="6">
        <f t="shared" si="18"/>
        <v>6382</v>
      </c>
      <c r="AI39" s="6">
        <f>AI11+AI36</f>
        <v>4389</v>
      </c>
      <c r="AJ39" s="6">
        <f>AJ11+AJ36</f>
        <v>-1150</v>
      </c>
    </row>
  </sheetData>
  <pageMargins left="0.23622047244094491" right="0.23622047244094491" top="0.15748031496062992" bottom="0.19685039370078741" header="0.11811023622047245" footer="0.11811023622047245"/>
  <pageSetup paperSize="9" scale="80" orientation="landscape" r:id="rId1"/>
  <colBreaks count="1" manualBreakCount="1">
    <brk id="18" max="1048575" man="1"/>
  </colBreaks>
</worksheet>
</file>

<file path=docMetadata/LabelInfo.xml><?xml version="1.0" encoding="utf-8"?>
<clbl:labelList xmlns:clbl="http://schemas.microsoft.com/office/2020/mipLabelMetadata">
  <clbl:label id="{56e3ab04-e609-4bbf-80d0-e25f460254ff}" enabled="1" method="Standard" siteId="{0d320d22-34e3-428a-bd15-6025042276b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P&amp;L</vt:lpstr>
      <vt:lpstr>Interest</vt:lpstr>
      <vt:lpstr>Fees</vt:lpstr>
      <vt:lpstr>Cost</vt:lpstr>
      <vt:lpstr>BS</vt:lpstr>
      <vt:lpstr>L&amp;D</vt:lpstr>
      <vt:lpstr>Loan book quality</vt:lpstr>
      <vt:lpstr>Capital Adequacy</vt:lpstr>
      <vt:lpstr>P&amp;L old</vt:lpstr>
      <vt:lpstr>BS old</vt:lpstr>
    </vt:vector>
  </TitlesOfParts>
  <Company>MILLENNIUM BANK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ADAM MISKOW</dc:creator>
  <cp:lastModifiedBy>MISKOW MAREK</cp:lastModifiedBy>
  <cp:lastPrinted>2019-07-31T11:53:09Z</cp:lastPrinted>
  <dcterms:created xsi:type="dcterms:W3CDTF">2012-01-27T14:48:26Z</dcterms:created>
  <dcterms:modified xsi:type="dcterms:W3CDTF">2022-07-25T16:48:51Z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{615489C7-5661-4B3C-A04A-BA5EB5B65358}</vt:lpwstr>
  </property>
  <property fmtid="{D5CDD505-2E9C-101B-9397-08002B2CF9AE}" pid="3" name="MSIP_Label_56e3ab04-e609-4bbf-80d0-e25f460254ff_Enabled">
    <vt:lpwstr>true</vt:lpwstr>
  </property>
  <property fmtid="{D5CDD505-2E9C-101B-9397-08002B2CF9AE}" pid="4" name="MSIP_Label_56e3ab04-e609-4bbf-80d0-e25f460254ff_SetDate">
    <vt:lpwstr>2021-10-25T15:15:09Z</vt:lpwstr>
  </property>
  <property fmtid="{D5CDD505-2E9C-101B-9397-08002B2CF9AE}" pid="5" name="MSIP_Label_56e3ab04-e609-4bbf-80d0-e25f460254ff_Method">
    <vt:lpwstr>Standard</vt:lpwstr>
  </property>
  <property fmtid="{D5CDD505-2E9C-101B-9397-08002B2CF9AE}" pid="6" name="MSIP_Label_56e3ab04-e609-4bbf-80d0-e25f460254ff_Name">
    <vt:lpwstr>Internal</vt:lpwstr>
  </property>
  <property fmtid="{D5CDD505-2E9C-101B-9397-08002B2CF9AE}" pid="7" name="MSIP_Label_56e3ab04-e609-4bbf-80d0-e25f460254ff_SiteId">
    <vt:lpwstr>0d320d22-34e3-428a-bd15-6025042276bf</vt:lpwstr>
  </property>
  <property fmtid="{D5CDD505-2E9C-101B-9397-08002B2CF9AE}" pid="8" name="MSIP_Label_56e3ab04-e609-4bbf-80d0-e25f460254ff_ActionId">
    <vt:lpwstr>f62a99a7-e0d8-4194-900a-be886ff6970d</vt:lpwstr>
  </property>
  <property fmtid="{D5CDD505-2E9C-101B-9397-08002B2CF9AE}" pid="9" name="MSIP_Label_56e3ab04-e609-4bbf-80d0-e25f460254ff_ContentBits">
    <vt:lpwstr>0</vt:lpwstr>
  </property>
</Properties>
</file>