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40" yWindow="90" windowWidth="17650" windowHeight="7240"/>
  </bookViews>
  <sheets>
    <sheet name="P&amp;L" sheetId="6" r:id="rId1"/>
    <sheet name="Interest" sheetId="8" r:id="rId2"/>
    <sheet name="Fees" sheetId="4" r:id="rId3"/>
    <sheet name="Cost" sheetId="5" r:id="rId4"/>
    <sheet name="BS" sheetId="7" r:id="rId5"/>
    <sheet name="L&amp;D" sheetId="3" r:id="rId6"/>
    <sheet name="Capital Adequacy" sheetId="10" r:id="rId7"/>
    <sheet name="P&amp;L old" sheetId="1" r:id="rId8"/>
    <sheet name="BS old" sheetId="2" r:id="rId9"/>
  </sheets>
  <definedNames>
    <definedName name="_Toc206829737" localSheetId="4">BS!#REF!</definedName>
    <definedName name="_Toc206829737" localSheetId="8">'BS old'!#REF!</definedName>
    <definedName name="_Toc267739939" localSheetId="4">BS!#REF!</definedName>
    <definedName name="_Toc267739939" localSheetId="8">'BS old'!#REF!</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2">Fees!#REF!</definedName>
  </definedNames>
  <calcPr calcId="145621"/>
</workbook>
</file>

<file path=xl/calcChain.xml><?xml version="1.0" encoding="utf-8"?>
<calcChain xmlns="http://schemas.openxmlformats.org/spreadsheetml/2006/main">
  <c r="O28" i="6" l="1"/>
  <c r="O23" i="6"/>
  <c r="H28" i="6"/>
  <c r="H31" i="6"/>
  <c r="H33" i="6"/>
  <c r="O42" i="6"/>
  <c r="O66" i="6"/>
  <c r="L37" i="7"/>
  <c r="L39" i="7"/>
  <c r="L17" i="7"/>
  <c r="V18" i="3"/>
  <c r="W18" i="3"/>
  <c r="V26" i="3"/>
  <c r="T9" i="3"/>
  <c r="U9" i="3"/>
  <c r="V28" i="3"/>
  <c r="W9" i="3"/>
  <c r="Y9" i="3"/>
  <c r="Z9" i="3"/>
  <c r="U29" i="3"/>
  <c r="V29" i="3"/>
  <c r="W29" i="3"/>
  <c r="W27" i="3"/>
  <c r="Z29" i="3"/>
  <c r="T25" i="3"/>
  <c r="V6" i="3"/>
  <c r="W6" i="3"/>
  <c r="Z6" i="3"/>
  <c r="X6" i="3"/>
  <c r="Y6" i="3"/>
  <c r="S28" i="3"/>
  <c r="T28" i="3"/>
  <c r="W28" i="3"/>
  <c r="X28" i="3"/>
  <c r="Y28" i="3"/>
  <c r="S29" i="3"/>
  <c r="T29" i="3"/>
  <c r="X29" i="3"/>
  <c r="Y29" i="3"/>
  <c r="S25" i="3"/>
  <c r="S24" i="3"/>
  <c r="V25" i="3"/>
  <c r="W25" i="3"/>
  <c r="X25" i="3"/>
  <c r="Y25" i="3"/>
  <c r="S26" i="3"/>
  <c r="T26" i="3"/>
  <c r="U26" i="3"/>
  <c r="W26" i="3"/>
  <c r="X26" i="3"/>
  <c r="Y26" i="3"/>
  <c r="Z26" i="3"/>
  <c r="S18" i="3"/>
  <c r="S15" i="3"/>
  <c r="T18" i="3"/>
  <c r="U18" i="3"/>
  <c r="T15" i="3"/>
  <c r="U15" i="3"/>
  <c r="V15" i="3"/>
  <c r="S9" i="3"/>
  <c r="V9" i="3"/>
  <c r="S6" i="3"/>
  <c r="T6" i="3"/>
  <c r="X18" i="3"/>
  <c r="Y18" i="3"/>
  <c r="Z18" i="3"/>
  <c r="W15" i="3"/>
  <c r="X15" i="3"/>
  <c r="Y15" i="3"/>
  <c r="Z15" i="3"/>
  <c r="X9" i="3"/>
  <c r="AA25" i="3"/>
  <c r="AA15" i="3"/>
  <c r="AA29" i="3"/>
  <c r="AA9" i="3"/>
  <c r="AA18" i="3"/>
  <c r="AA53" i="3"/>
  <c r="AA48" i="3"/>
  <c r="AA35" i="3"/>
  <c r="L22" i="7"/>
  <c r="L9" i="7"/>
  <c r="AA17" i="5"/>
  <c r="AA16" i="5"/>
  <c r="AA15" i="5"/>
  <c r="AA14" i="5"/>
  <c r="AA13" i="5"/>
  <c r="AA12" i="5"/>
  <c r="AA11" i="5"/>
  <c r="AA10" i="5"/>
  <c r="AA9" i="5"/>
  <c r="AA8" i="5"/>
  <c r="AA7" i="5"/>
  <c r="AA6" i="5"/>
  <c r="AA4" i="5"/>
  <c r="AA26" i="5"/>
  <c r="AA39" i="5"/>
  <c r="AA71" i="4"/>
  <c r="AA26" i="4"/>
  <c r="AA25" i="4"/>
  <c r="AA24" i="4"/>
  <c r="AA23" i="4"/>
  <c r="AA22" i="4"/>
  <c r="AA21" i="4"/>
  <c r="AA20" i="4"/>
  <c r="AA19" i="4"/>
  <c r="AA18" i="4"/>
  <c r="AA17" i="4"/>
  <c r="AA13" i="4"/>
  <c r="AA12" i="4"/>
  <c r="AA11" i="4"/>
  <c r="AA37" i="4"/>
  <c r="AA10" i="4"/>
  <c r="AA9" i="4"/>
  <c r="AA8" i="4"/>
  <c r="AA34" i="4"/>
  <c r="AA7" i="4"/>
  <c r="AA6" i="4"/>
  <c r="AA5" i="4"/>
  <c r="AA4" i="4"/>
  <c r="AA80" i="4"/>
  <c r="AA79" i="4"/>
  <c r="AA78" i="4"/>
  <c r="AA77" i="4"/>
  <c r="AA76" i="4"/>
  <c r="AA75" i="4"/>
  <c r="AA74" i="4"/>
  <c r="AA73" i="4"/>
  <c r="AA72" i="4"/>
  <c r="AA68" i="4"/>
  <c r="AA55" i="4"/>
  <c r="P51" i="8"/>
  <c r="P28" i="8"/>
  <c r="P27" i="8"/>
  <c r="P26" i="8"/>
  <c r="P25" i="8"/>
  <c r="P24" i="8"/>
  <c r="P23" i="8"/>
  <c r="P22" i="8"/>
  <c r="P21" i="8"/>
  <c r="P15" i="8"/>
  <c r="P16" i="8"/>
  <c r="P13" i="8"/>
  <c r="P12" i="8"/>
  <c r="P11" i="8"/>
  <c r="P10" i="8"/>
  <c r="P9" i="8"/>
  <c r="P8" i="8"/>
  <c r="P7" i="8"/>
  <c r="P6" i="8"/>
  <c r="P5" i="8"/>
  <c r="P60" i="8"/>
  <c r="P45" i="8"/>
  <c r="P38" i="8"/>
  <c r="P36" i="8"/>
  <c r="P48" i="8"/>
  <c r="P14" i="8"/>
  <c r="O25" i="6"/>
  <c r="AA6" i="3"/>
  <c r="AA12" i="3"/>
  <c r="AA26" i="3"/>
  <c r="AA24" i="3"/>
  <c r="AA28" i="3"/>
  <c r="AA27" i="3"/>
  <c r="AA30" i="3"/>
  <c r="AA37" i="3"/>
  <c r="AA21" i="3"/>
  <c r="L31" i="7"/>
  <c r="AA5" i="5"/>
  <c r="AA18" i="5"/>
  <c r="AA38" i="4"/>
  <c r="AA27" i="4"/>
  <c r="AA31" i="4"/>
  <c r="AA39" i="4"/>
  <c r="AA81" i="4"/>
  <c r="AA35" i="4"/>
  <c r="AA36" i="4"/>
  <c r="AA30" i="4"/>
  <c r="AA32" i="4"/>
  <c r="AA33" i="4"/>
  <c r="AA14" i="4"/>
  <c r="P20" i="8"/>
  <c r="P29" i="8"/>
  <c r="P17" i="8"/>
  <c r="AA40" i="4"/>
  <c r="O50" i="6"/>
  <c r="O51" i="6"/>
  <c r="O13" i="6"/>
  <c r="O12" i="6"/>
  <c r="O4" i="6"/>
  <c r="O36" i="6"/>
  <c r="O32" i="6"/>
  <c r="O30" i="6"/>
  <c r="O29" i="6"/>
  <c r="O27" i="6"/>
  <c r="O26" i="6"/>
  <c r="O24" i="6"/>
  <c r="O22" i="6"/>
  <c r="O20" i="6"/>
  <c r="O21" i="6"/>
  <c r="O19" i="6"/>
  <c r="O17" i="6"/>
  <c r="O16" i="6"/>
  <c r="O15" i="6"/>
  <c r="O14" i="6"/>
  <c r="O11" i="6"/>
  <c r="O10" i="6"/>
  <c r="O8" i="6"/>
  <c r="O7" i="6"/>
  <c r="O9" i="6"/>
  <c r="O18" i="6"/>
  <c r="O31" i="6"/>
  <c r="O33" i="6"/>
  <c r="O5" i="6"/>
  <c r="O59" i="6"/>
  <c r="O69" i="6"/>
  <c r="O71" i="6"/>
  <c r="O73" i="6"/>
  <c r="O47" i="6"/>
  <c r="O44" i="6"/>
  <c r="N59" i="6"/>
  <c r="N51" i="6"/>
  <c r="N13" i="6"/>
  <c r="N50" i="6"/>
  <c r="N47" i="6"/>
  <c r="N56" i="6"/>
  <c r="N42" i="6"/>
  <c r="N44" i="6"/>
  <c r="Y53" i="3"/>
  <c r="Z35" i="3"/>
  <c r="Z53" i="3"/>
  <c r="Z48" i="3"/>
  <c r="Y4" i="5"/>
  <c r="Z17" i="5"/>
  <c r="Z16" i="5"/>
  <c r="Z15" i="5"/>
  <c r="Z14" i="5"/>
  <c r="Z13" i="5"/>
  <c r="Z12" i="5"/>
  <c r="Z11" i="5"/>
  <c r="Z10" i="5"/>
  <c r="Z9" i="5"/>
  <c r="Z8" i="5"/>
  <c r="Z7" i="5"/>
  <c r="Z6" i="5"/>
  <c r="Z4" i="5"/>
  <c r="Z26" i="5"/>
  <c r="Z39" i="5"/>
  <c r="Z55" i="4"/>
  <c r="Z4" i="4"/>
  <c r="Z26" i="4"/>
  <c r="Z25" i="4"/>
  <c r="Z38" i="4"/>
  <c r="Z24" i="4"/>
  <c r="Z21" i="4"/>
  <c r="Z19" i="4"/>
  <c r="Z18" i="4"/>
  <c r="Z17" i="4"/>
  <c r="Z30" i="4"/>
  <c r="Z13" i="4"/>
  <c r="Z12" i="4"/>
  <c r="Z11" i="4"/>
  <c r="Z10" i="4"/>
  <c r="Z36" i="4"/>
  <c r="Z9" i="4"/>
  <c r="Z35" i="4"/>
  <c r="Z8" i="4"/>
  <c r="Z7" i="4"/>
  <c r="Z33" i="4"/>
  <c r="Z6" i="4"/>
  <c r="Z5" i="4"/>
  <c r="Z31" i="4"/>
  <c r="Z80" i="4"/>
  <c r="Z79" i="4"/>
  <c r="Z78" i="4"/>
  <c r="Z77" i="4"/>
  <c r="Z76" i="4"/>
  <c r="Z75" i="4"/>
  <c r="Z74" i="4"/>
  <c r="Z73" i="4"/>
  <c r="Z72" i="4"/>
  <c r="Z71" i="4"/>
  <c r="Z68" i="4"/>
  <c r="O28" i="8"/>
  <c r="O27" i="8"/>
  <c r="O26" i="8"/>
  <c r="O25" i="8"/>
  <c r="O24" i="8"/>
  <c r="O23" i="8"/>
  <c r="O22" i="8"/>
  <c r="O21" i="8"/>
  <c r="O16" i="8"/>
  <c r="O15" i="8"/>
  <c r="O13" i="8"/>
  <c r="O12" i="8"/>
  <c r="O11" i="8"/>
  <c r="O10" i="8"/>
  <c r="O9" i="8"/>
  <c r="O8" i="8"/>
  <c r="O6" i="8"/>
  <c r="O5" i="8"/>
  <c r="O51" i="8"/>
  <c r="O60" i="8"/>
  <c r="O45" i="8"/>
  <c r="O38" i="8"/>
  <c r="O36" i="8"/>
  <c r="N25" i="6"/>
  <c r="M42" i="6"/>
  <c r="M44" i="6"/>
  <c r="M56" i="6"/>
  <c r="M89" i="6"/>
  <c r="N32" i="6"/>
  <c r="N30" i="6"/>
  <c r="N29" i="6"/>
  <c r="N27" i="6"/>
  <c r="N26" i="6"/>
  <c r="N24" i="6"/>
  <c r="N22" i="6"/>
  <c r="N20" i="6"/>
  <c r="N19" i="6"/>
  <c r="N14" i="6"/>
  <c r="N17" i="6"/>
  <c r="N16" i="6"/>
  <c r="N15" i="6"/>
  <c r="N11" i="6"/>
  <c r="N10" i="6"/>
  <c r="N8" i="6"/>
  <c r="N9" i="6"/>
  <c r="N7" i="6"/>
  <c r="N5" i="6"/>
  <c r="N36" i="6"/>
  <c r="Y48" i="3"/>
  <c r="Y35" i="3"/>
  <c r="J37" i="7"/>
  <c r="J39" i="7"/>
  <c r="J22" i="7"/>
  <c r="J31" i="7"/>
  <c r="J9" i="7"/>
  <c r="J17" i="7"/>
  <c r="Y17" i="5"/>
  <c r="Y16" i="5"/>
  <c r="Y15" i="5"/>
  <c r="Y14" i="5"/>
  <c r="Y13" i="5"/>
  <c r="Y12" i="5"/>
  <c r="Y11" i="5"/>
  <c r="Y10" i="5"/>
  <c r="Y9" i="5"/>
  <c r="Y8" i="5"/>
  <c r="Y7" i="5"/>
  <c r="Y6" i="5"/>
  <c r="Y5" i="5"/>
  <c r="Y18" i="5"/>
  <c r="Y26" i="5"/>
  <c r="Y39" i="5"/>
  <c r="Y26" i="4"/>
  <c r="Y25" i="4"/>
  <c r="Y24" i="4"/>
  <c r="Y21" i="4"/>
  <c r="Y19" i="4"/>
  <c r="Y18" i="4"/>
  <c r="Y17" i="4"/>
  <c r="Y13" i="4"/>
  <c r="Y39" i="4"/>
  <c r="Y12" i="4"/>
  <c r="Y38" i="4"/>
  <c r="Y11" i="4"/>
  <c r="Y10" i="4"/>
  <c r="Y36" i="4"/>
  <c r="Y9" i="4"/>
  <c r="Y35" i="4"/>
  <c r="Y8" i="4"/>
  <c r="Y7" i="4"/>
  <c r="Y33" i="4"/>
  <c r="Y6" i="4"/>
  <c r="Y32" i="4"/>
  <c r="Y5" i="4"/>
  <c r="Y31" i="4"/>
  <c r="Y4" i="4"/>
  <c r="Y14" i="4"/>
  <c r="X68" i="4"/>
  <c r="Y68" i="4"/>
  <c r="Y80" i="4"/>
  <c r="Y79" i="4"/>
  <c r="Y78" i="4"/>
  <c r="Y77" i="4"/>
  <c r="Y76" i="4"/>
  <c r="Y75" i="4"/>
  <c r="Y74" i="4"/>
  <c r="Y73" i="4"/>
  <c r="Y72" i="4"/>
  <c r="Y71" i="4"/>
  <c r="Y55" i="4"/>
  <c r="N28" i="8"/>
  <c r="N27" i="8"/>
  <c r="N26" i="8"/>
  <c r="N25" i="8"/>
  <c r="N24" i="8"/>
  <c r="N23" i="8"/>
  <c r="N22" i="8"/>
  <c r="N21" i="8"/>
  <c r="N16" i="8"/>
  <c r="N15" i="8"/>
  <c r="N13" i="8"/>
  <c r="N12" i="8"/>
  <c r="N11" i="8"/>
  <c r="N10" i="8"/>
  <c r="N9" i="8"/>
  <c r="N8" i="8"/>
  <c r="N6" i="8"/>
  <c r="N5" i="8"/>
  <c r="N51" i="8"/>
  <c r="N60" i="8"/>
  <c r="N45" i="8"/>
  <c r="N38" i="8"/>
  <c r="N36" i="8"/>
  <c r="M88" i="6"/>
  <c r="M59" i="6"/>
  <c r="M66" i="6"/>
  <c r="M69" i="6"/>
  <c r="M71" i="6"/>
  <c r="M73" i="6"/>
  <c r="M51" i="6"/>
  <c r="M13" i="6"/>
  <c r="M50" i="6"/>
  <c r="N12" i="6"/>
  <c r="M47" i="6"/>
  <c r="M36" i="6"/>
  <c r="L36" i="6"/>
  <c r="M32" i="6"/>
  <c r="L32" i="6"/>
  <c r="M30" i="6"/>
  <c r="L30" i="6"/>
  <c r="M29" i="6"/>
  <c r="L29" i="6"/>
  <c r="M27" i="6"/>
  <c r="L27" i="6"/>
  <c r="M26" i="6"/>
  <c r="L26" i="6"/>
  <c r="M24" i="6"/>
  <c r="L24" i="6"/>
  <c r="M22" i="6"/>
  <c r="L22" i="6"/>
  <c r="M20" i="6"/>
  <c r="L20" i="6"/>
  <c r="M19" i="6"/>
  <c r="L19" i="6"/>
  <c r="L21" i="6"/>
  <c r="M17" i="6"/>
  <c r="L17" i="6"/>
  <c r="M16" i="6"/>
  <c r="L16" i="6"/>
  <c r="M15" i="6"/>
  <c r="L15" i="6"/>
  <c r="M14" i="6"/>
  <c r="L14" i="6"/>
  <c r="M11" i="6"/>
  <c r="L11" i="6"/>
  <c r="M10" i="6"/>
  <c r="L10" i="6"/>
  <c r="M8" i="6"/>
  <c r="M9" i="6"/>
  <c r="L8" i="6"/>
  <c r="L9" i="6"/>
  <c r="M7" i="6"/>
  <c r="L7" i="6"/>
  <c r="M5" i="6"/>
  <c r="L5" i="6"/>
  <c r="L59" i="6"/>
  <c r="L51" i="6"/>
  <c r="L50" i="6"/>
  <c r="M12" i="6"/>
  <c r="L47" i="6"/>
  <c r="L42" i="6"/>
  <c r="I37" i="7"/>
  <c r="I39" i="7"/>
  <c r="I22" i="7"/>
  <c r="I31" i="7"/>
  <c r="I9" i="7"/>
  <c r="I17" i="7"/>
  <c r="X26" i="5"/>
  <c r="X80" i="4"/>
  <c r="X79" i="4"/>
  <c r="X78" i="4"/>
  <c r="X77" i="4"/>
  <c r="X76" i="4"/>
  <c r="X75" i="4"/>
  <c r="X74" i="4"/>
  <c r="X73" i="4"/>
  <c r="X72" i="4"/>
  <c r="X71" i="4"/>
  <c r="X55" i="4"/>
  <c r="M51" i="8"/>
  <c r="M60" i="8"/>
  <c r="M45" i="8"/>
  <c r="M38" i="8"/>
  <c r="M36" i="8"/>
  <c r="W56" i="3"/>
  <c r="L51" i="8"/>
  <c r="L60" i="8"/>
  <c r="L26" i="8"/>
  <c r="M26" i="8"/>
  <c r="K32" i="6"/>
  <c r="K30" i="6"/>
  <c r="K29" i="6"/>
  <c r="K27" i="6"/>
  <c r="K26" i="6"/>
  <c r="K24" i="6"/>
  <c r="K22" i="6"/>
  <c r="K20" i="6"/>
  <c r="K19" i="6"/>
  <c r="K21" i="6"/>
  <c r="K17" i="6"/>
  <c r="K16" i="6"/>
  <c r="K15" i="6"/>
  <c r="K14" i="6"/>
  <c r="K11" i="6"/>
  <c r="K10" i="6"/>
  <c r="K8" i="6"/>
  <c r="K7" i="6"/>
  <c r="K9" i="6"/>
  <c r="K5" i="6"/>
  <c r="K51" i="6"/>
  <c r="L13" i="6"/>
  <c r="K13" i="6"/>
  <c r="K50" i="6"/>
  <c r="K12" i="6"/>
  <c r="K42" i="6"/>
  <c r="K4" i="6"/>
  <c r="K6" i="6"/>
  <c r="L4" i="6"/>
  <c r="L6" i="6"/>
  <c r="W53" i="3"/>
  <c r="W35" i="3"/>
  <c r="W48" i="3"/>
  <c r="H39" i="7"/>
  <c r="H22" i="7"/>
  <c r="H31" i="7"/>
  <c r="H9" i="7"/>
  <c r="H17" i="7"/>
  <c r="W17" i="5"/>
  <c r="X17" i="5"/>
  <c r="W16" i="5"/>
  <c r="X16" i="5"/>
  <c r="W15" i="5"/>
  <c r="X15" i="5"/>
  <c r="W14" i="5"/>
  <c r="X14" i="5"/>
  <c r="W13" i="5"/>
  <c r="X13" i="5"/>
  <c r="W12" i="5"/>
  <c r="X12" i="5"/>
  <c r="W11" i="5"/>
  <c r="X11" i="5"/>
  <c r="W10" i="5"/>
  <c r="X10" i="5"/>
  <c r="W9" i="5"/>
  <c r="X9" i="5"/>
  <c r="W8" i="5"/>
  <c r="X8" i="5"/>
  <c r="W7" i="5"/>
  <c r="W6" i="5"/>
  <c r="W4" i="5"/>
  <c r="X4" i="5"/>
  <c r="W26" i="5"/>
  <c r="W39" i="5"/>
  <c r="W26" i="4"/>
  <c r="X26" i="4"/>
  <c r="W25" i="4"/>
  <c r="X25" i="4"/>
  <c r="W24" i="4"/>
  <c r="X24" i="4"/>
  <c r="W21" i="4"/>
  <c r="X21" i="4"/>
  <c r="W19" i="4"/>
  <c r="X19" i="4"/>
  <c r="W18" i="4"/>
  <c r="X18" i="4"/>
  <c r="W17" i="4"/>
  <c r="X17" i="4"/>
  <c r="W13" i="4"/>
  <c r="X13" i="4"/>
  <c r="W12" i="4"/>
  <c r="W38" i="4"/>
  <c r="W11" i="4"/>
  <c r="X11" i="4"/>
  <c r="W10" i="4"/>
  <c r="X10" i="4"/>
  <c r="X36" i="4"/>
  <c r="W9" i="4"/>
  <c r="W8" i="4"/>
  <c r="X8" i="4"/>
  <c r="W7" i="4"/>
  <c r="X7" i="4"/>
  <c r="X33" i="4"/>
  <c r="W33" i="4"/>
  <c r="W6" i="4"/>
  <c r="X6" i="4"/>
  <c r="W5" i="4"/>
  <c r="W4" i="4"/>
  <c r="X4" i="4"/>
  <c r="X30" i="4"/>
  <c r="W80" i="4"/>
  <c r="W79" i="4"/>
  <c r="W78" i="4"/>
  <c r="W77" i="4"/>
  <c r="W76" i="4"/>
  <c r="W75" i="4"/>
  <c r="W74" i="4"/>
  <c r="W73" i="4"/>
  <c r="W72" i="4"/>
  <c r="W71" i="4"/>
  <c r="W68" i="4"/>
  <c r="W55" i="4"/>
  <c r="L28" i="8"/>
  <c r="L27" i="8"/>
  <c r="M27" i="8"/>
  <c r="L25" i="8"/>
  <c r="M25" i="8"/>
  <c r="L24" i="8"/>
  <c r="L23" i="8"/>
  <c r="M23" i="8"/>
  <c r="L22" i="8"/>
  <c r="M22" i="8"/>
  <c r="L21" i="8"/>
  <c r="M21" i="8"/>
  <c r="L16" i="8"/>
  <c r="M16" i="8"/>
  <c r="L15" i="8"/>
  <c r="M15" i="8"/>
  <c r="L13" i="8"/>
  <c r="M13" i="8"/>
  <c r="L12" i="8"/>
  <c r="M12" i="8"/>
  <c r="L11" i="8"/>
  <c r="M11" i="8"/>
  <c r="L10" i="8"/>
  <c r="L9" i="8"/>
  <c r="M9" i="8"/>
  <c r="L8" i="8"/>
  <c r="L6" i="8"/>
  <c r="M6" i="8"/>
  <c r="M5" i="8"/>
  <c r="L45" i="8"/>
  <c r="L38" i="8"/>
  <c r="L36" i="8"/>
  <c r="K38" i="8"/>
  <c r="K36" i="6"/>
  <c r="K59" i="6"/>
  <c r="K66" i="6"/>
  <c r="K69" i="6"/>
  <c r="K71" i="6"/>
  <c r="K73" i="6"/>
  <c r="K47" i="6"/>
  <c r="E20" i="8"/>
  <c r="E29" i="8"/>
  <c r="F20" i="8"/>
  <c r="F29" i="8"/>
  <c r="G20" i="8"/>
  <c r="G29" i="8"/>
  <c r="H20" i="8"/>
  <c r="H29" i="8"/>
  <c r="I20" i="8"/>
  <c r="I29" i="8"/>
  <c r="D20" i="8"/>
  <c r="D29" i="8"/>
  <c r="D51" i="8"/>
  <c r="D60" i="8"/>
  <c r="E51" i="8"/>
  <c r="E60" i="8"/>
  <c r="F51" i="8"/>
  <c r="F60" i="8"/>
  <c r="G51" i="8"/>
  <c r="G60" i="8"/>
  <c r="H51" i="8"/>
  <c r="H60" i="8"/>
  <c r="I51" i="8"/>
  <c r="I60" i="8"/>
  <c r="J51" i="8"/>
  <c r="J60" i="8"/>
  <c r="K51" i="8"/>
  <c r="K60" i="8"/>
  <c r="C51" i="8"/>
  <c r="C60" i="8"/>
  <c r="D7" i="8"/>
  <c r="I7" i="8"/>
  <c r="H7" i="8"/>
  <c r="G7" i="8"/>
  <c r="F7" i="8"/>
  <c r="E7" i="8"/>
  <c r="J38" i="8"/>
  <c r="I38" i="8"/>
  <c r="H38" i="8"/>
  <c r="G38" i="8"/>
  <c r="F38" i="8"/>
  <c r="E38" i="8"/>
  <c r="D38" i="8"/>
  <c r="C38" i="8"/>
  <c r="I5" i="8"/>
  <c r="H5" i="8"/>
  <c r="G5" i="8"/>
  <c r="F5" i="8"/>
  <c r="E5" i="8"/>
  <c r="D5" i="8"/>
  <c r="D36" i="8"/>
  <c r="E36" i="8"/>
  <c r="F36" i="8"/>
  <c r="G36" i="8"/>
  <c r="H36" i="8"/>
  <c r="I36" i="8"/>
  <c r="J36" i="8"/>
  <c r="K36" i="8"/>
  <c r="C36" i="8"/>
  <c r="K13" i="8"/>
  <c r="J13" i="8"/>
  <c r="V48" i="3"/>
  <c r="V35" i="3"/>
  <c r="G22" i="7"/>
  <c r="G31" i="7"/>
  <c r="C22" i="7"/>
  <c r="C31" i="7"/>
  <c r="D22" i="7"/>
  <c r="D31" i="7"/>
  <c r="E22" i="7"/>
  <c r="E31" i="7"/>
  <c r="G9" i="7"/>
  <c r="C9" i="7"/>
  <c r="G39" i="7"/>
  <c r="C39" i="7"/>
  <c r="V17" i="5"/>
  <c r="V16" i="5"/>
  <c r="V15" i="5"/>
  <c r="V14" i="5"/>
  <c r="V13" i="5"/>
  <c r="V12" i="5"/>
  <c r="V11" i="5"/>
  <c r="V10" i="5"/>
  <c r="V9" i="5"/>
  <c r="V8" i="5"/>
  <c r="V7" i="5"/>
  <c r="V6" i="5"/>
  <c r="V4" i="5"/>
  <c r="V26" i="5"/>
  <c r="V39" i="5"/>
  <c r="V26" i="4"/>
  <c r="V25" i="4"/>
  <c r="V24" i="4"/>
  <c r="V21" i="4"/>
  <c r="V19" i="4"/>
  <c r="V18" i="4"/>
  <c r="V17" i="4"/>
  <c r="V13" i="4"/>
  <c r="V12" i="4"/>
  <c r="V38" i="4"/>
  <c r="V11" i="4"/>
  <c r="V37" i="4"/>
  <c r="V10" i="4"/>
  <c r="V36" i="4"/>
  <c r="V9" i="4"/>
  <c r="V35" i="4"/>
  <c r="V8" i="4"/>
  <c r="V7" i="4"/>
  <c r="V33" i="4"/>
  <c r="V6" i="4"/>
  <c r="V32" i="4"/>
  <c r="V5" i="4"/>
  <c r="V14" i="4"/>
  <c r="V4" i="4"/>
  <c r="V68" i="4"/>
  <c r="V55" i="4"/>
  <c r="V71" i="4"/>
  <c r="V72" i="4"/>
  <c r="V73" i="4"/>
  <c r="V74" i="4"/>
  <c r="V75" i="4"/>
  <c r="V76" i="4"/>
  <c r="V77" i="4"/>
  <c r="V78" i="4"/>
  <c r="V79" i="4"/>
  <c r="V80" i="4"/>
  <c r="K28" i="8"/>
  <c r="K27" i="8"/>
  <c r="K25" i="8"/>
  <c r="K24" i="8"/>
  <c r="K23" i="8"/>
  <c r="K22" i="8"/>
  <c r="K21" i="8"/>
  <c r="K16" i="8"/>
  <c r="K15" i="8"/>
  <c r="K12" i="8"/>
  <c r="K11" i="8"/>
  <c r="K10" i="8"/>
  <c r="K9" i="8"/>
  <c r="K8" i="8"/>
  <c r="K6" i="8"/>
  <c r="K5" i="8"/>
  <c r="K45" i="8"/>
  <c r="J32" i="6"/>
  <c r="J30" i="6"/>
  <c r="J29" i="6"/>
  <c r="J27" i="6"/>
  <c r="J26" i="6"/>
  <c r="J24" i="6"/>
  <c r="J22" i="6"/>
  <c r="J20" i="6"/>
  <c r="J19" i="6"/>
  <c r="J17" i="6"/>
  <c r="J16" i="6"/>
  <c r="J15" i="6"/>
  <c r="J14" i="6"/>
  <c r="J11" i="6"/>
  <c r="J10" i="6"/>
  <c r="J8" i="6"/>
  <c r="J7" i="6"/>
  <c r="J9" i="6"/>
  <c r="J5" i="6"/>
  <c r="J4" i="6"/>
  <c r="J6" i="6"/>
  <c r="F32" i="6"/>
  <c r="F30" i="6"/>
  <c r="F29" i="6"/>
  <c r="F27" i="6"/>
  <c r="F26" i="6"/>
  <c r="F24" i="6"/>
  <c r="F22" i="6"/>
  <c r="F20" i="6"/>
  <c r="F19" i="6"/>
  <c r="F21" i="6"/>
  <c r="F17" i="6"/>
  <c r="F16" i="6"/>
  <c r="F15" i="6"/>
  <c r="F14" i="6"/>
  <c r="F13" i="6"/>
  <c r="F11" i="6"/>
  <c r="F10" i="6"/>
  <c r="F8" i="6"/>
  <c r="F7" i="6"/>
  <c r="F9" i="6"/>
  <c r="F5" i="6"/>
  <c r="J36" i="6"/>
  <c r="F36" i="6"/>
  <c r="F4" i="6"/>
  <c r="J50" i="6"/>
  <c r="J12" i="6"/>
  <c r="J51" i="6"/>
  <c r="J13" i="6"/>
  <c r="J44" i="6"/>
  <c r="J59" i="6"/>
  <c r="F59" i="6"/>
  <c r="F66" i="6"/>
  <c r="F69" i="6"/>
  <c r="F71" i="6"/>
  <c r="F73" i="6"/>
  <c r="F50" i="6"/>
  <c r="F12" i="6"/>
  <c r="J47" i="6"/>
  <c r="F47" i="6"/>
  <c r="F44" i="6"/>
  <c r="E36" i="6"/>
  <c r="E32" i="6"/>
  <c r="E30" i="6"/>
  <c r="E29" i="6"/>
  <c r="E27" i="6"/>
  <c r="E26" i="6"/>
  <c r="E24" i="6"/>
  <c r="E22" i="6"/>
  <c r="E20" i="6"/>
  <c r="E19" i="6"/>
  <c r="E21" i="6"/>
  <c r="E17" i="6"/>
  <c r="E16" i="6"/>
  <c r="E15" i="6"/>
  <c r="E14" i="6"/>
  <c r="E13" i="6"/>
  <c r="E12" i="6"/>
  <c r="E11" i="6"/>
  <c r="E10" i="6"/>
  <c r="E8" i="6"/>
  <c r="E7" i="6"/>
  <c r="E5" i="6"/>
  <c r="E4" i="6"/>
  <c r="E59" i="6"/>
  <c r="E47" i="6"/>
  <c r="E44" i="6"/>
  <c r="E56" i="6"/>
  <c r="U35" i="3"/>
  <c r="U48" i="3"/>
  <c r="F9" i="7"/>
  <c r="F17" i="7"/>
  <c r="F22" i="7"/>
  <c r="F31" i="7"/>
  <c r="F37" i="7"/>
  <c r="F39" i="7"/>
  <c r="U4" i="5"/>
  <c r="U18" i="5"/>
  <c r="U17" i="5"/>
  <c r="U16" i="5"/>
  <c r="U15" i="5"/>
  <c r="U14" i="5"/>
  <c r="U13" i="5"/>
  <c r="U12" i="5"/>
  <c r="U11" i="5"/>
  <c r="U10" i="5"/>
  <c r="U9" i="5"/>
  <c r="U8" i="5"/>
  <c r="U7" i="5"/>
  <c r="U5" i="5"/>
  <c r="U6" i="5"/>
  <c r="U26" i="5"/>
  <c r="U39" i="5"/>
  <c r="U26" i="4"/>
  <c r="U25" i="4"/>
  <c r="U24" i="4"/>
  <c r="U21" i="4"/>
  <c r="U19" i="4"/>
  <c r="U18" i="4"/>
  <c r="U17" i="4"/>
  <c r="U30" i="4"/>
  <c r="U13" i="4"/>
  <c r="U39" i="4"/>
  <c r="U12" i="4"/>
  <c r="U11" i="4"/>
  <c r="U37" i="4"/>
  <c r="U10" i="4"/>
  <c r="U36" i="4"/>
  <c r="U9" i="4"/>
  <c r="U35" i="4"/>
  <c r="U8" i="4"/>
  <c r="U7" i="4"/>
  <c r="U33" i="4"/>
  <c r="U6" i="4"/>
  <c r="U32" i="4"/>
  <c r="U5" i="4"/>
  <c r="U4" i="4"/>
  <c r="T4" i="4"/>
  <c r="U80" i="4"/>
  <c r="U79" i="4"/>
  <c r="U78" i="4"/>
  <c r="U77" i="4"/>
  <c r="U76" i="4"/>
  <c r="U75" i="4"/>
  <c r="U74" i="4"/>
  <c r="U73" i="4"/>
  <c r="U72" i="4"/>
  <c r="U71" i="4"/>
  <c r="U68" i="4"/>
  <c r="U55" i="4"/>
  <c r="J28" i="8"/>
  <c r="J27" i="8"/>
  <c r="J25" i="8"/>
  <c r="J24" i="8"/>
  <c r="J23" i="8"/>
  <c r="J22" i="8"/>
  <c r="J21" i="8"/>
  <c r="J16" i="8"/>
  <c r="J15" i="8"/>
  <c r="J14" i="8"/>
  <c r="J12" i="8"/>
  <c r="J11" i="8"/>
  <c r="J10" i="8"/>
  <c r="J9" i="8"/>
  <c r="J8" i="8"/>
  <c r="J6" i="8"/>
  <c r="J5" i="8"/>
  <c r="J45" i="8"/>
  <c r="D27" i="6"/>
  <c r="I51" i="6"/>
  <c r="I36" i="6"/>
  <c r="I32" i="6"/>
  <c r="I30" i="6"/>
  <c r="I29" i="6"/>
  <c r="I27" i="6"/>
  <c r="I26" i="6"/>
  <c r="I24" i="6"/>
  <c r="I22" i="6"/>
  <c r="I20" i="6"/>
  <c r="I21" i="6"/>
  <c r="I19" i="6"/>
  <c r="I17" i="6"/>
  <c r="I16" i="6"/>
  <c r="I15" i="6"/>
  <c r="I14" i="6"/>
  <c r="I12" i="6"/>
  <c r="I11" i="6"/>
  <c r="I10" i="6"/>
  <c r="I8" i="6"/>
  <c r="I7" i="6"/>
  <c r="I5" i="6"/>
  <c r="I4" i="6"/>
  <c r="I6" i="6"/>
  <c r="I59" i="6"/>
  <c r="I47" i="6"/>
  <c r="I44" i="6"/>
  <c r="G51" i="6"/>
  <c r="H13" i="6"/>
  <c r="H27" i="6"/>
  <c r="H51" i="6"/>
  <c r="T17" i="5"/>
  <c r="S17" i="5"/>
  <c r="R17" i="5"/>
  <c r="Q17" i="5"/>
  <c r="P17" i="5"/>
  <c r="O17" i="5"/>
  <c r="T16" i="5"/>
  <c r="S16" i="5"/>
  <c r="R16" i="5"/>
  <c r="Q16" i="5"/>
  <c r="P16" i="5"/>
  <c r="O16" i="5"/>
  <c r="T15" i="5"/>
  <c r="S15" i="5"/>
  <c r="R15" i="5"/>
  <c r="Q15" i="5"/>
  <c r="P15" i="5"/>
  <c r="O15" i="5"/>
  <c r="T14" i="5"/>
  <c r="S14" i="5"/>
  <c r="R14" i="5"/>
  <c r="Q14" i="5"/>
  <c r="P14" i="5"/>
  <c r="O14" i="5"/>
  <c r="T13" i="5"/>
  <c r="S13" i="5"/>
  <c r="R13" i="5"/>
  <c r="Q13" i="5"/>
  <c r="P13" i="5"/>
  <c r="O13" i="5"/>
  <c r="T12" i="5"/>
  <c r="S12" i="5"/>
  <c r="R12" i="5"/>
  <c r="Q12" i="5"/>
  <c r="P12" i="5"/>
  <c r="O12" i="5"/>
  <c r="T11" i="5"/>
  <c r="S11" i="5"/>
  <c r="R11" i="5"/>
  <c r="Q11" i="5"/>
  <c r="P11" i="5"/>
  <c r="O11" i="5"/>
  <c r="T10" i="5"/>
  <c r="T5" i="5"/>
  <c r="T18" i="5"/>
  <c r="S10" i="5"/>
  <c r="R10" i="5"/>
  <c r="Q10" i="5"/>
  <c r="P10" i="5"/>
  <c r="P5" i="5"/>
  <c r="P18" i="5"/>
  <c r="O10" i="5"/>
  <c r="T9" i="5"/>
  <c r="S9" i="5"/>
  <c r="R9" i="5"/>
  <c r="R5" i="5"/>
  <c r="R18" i="5"/>
  <c r="Q9" i="5"/>
  <c r="P9" i="5"/>
  <c r="O9" i="5"/>
  <c r="T8" i="5"/>
  <c r="S8" i="5"/>
  <c r="R8" i="5"/>
  <c r="Q8" i="5"/>
  <c r="P8" i="5"/>
  <c r="O8" i="5"/>
  <c r="T7" i="5"/>
  <c r="S7" i="5"/>
  <c r="S5" i="5"/>
  <c r="S18" i="5"/>
  <c r="R7" i="5"/>
  <c r="Q7" i="5"/>
  <c r="P7" i="5"/>
  <c r="O7" i="5"/>
  <c r="O5" i="5"/>
  <c r="O18" i="5"/>
  <c r="T6" i="5"/>
  <c r="S6" i="5"/>
  <c r="R6" i="5"/>
  <c r="Q6" i="5"/>
  <c r="Q5" i="5"/>
  <c r="Q18" i="5"/>
  <c r="P6" i="5"/>
  <c r="O6" i="5"/>
  <c r="T4" i="5"/>
  <c r="S4" i="5"/>
  <c r="R4" i="5"/>
  <c r="Q4" i="5"/>
  <c r="P4" i="5"/>
  <c r="O4" i="5"/>
  <c r="T34" i="3"/>
  <c r="T35" i="3"/>
  <c r="T48" i="3"/>
  <c r="E37" i="7"/>
  <c r="E39" i="7"/>
  <c r="E9" i="7"/>
  <c r="E17" i="7"/>
  <c r="T26" i="5"/>
  <c r="T39" i="5"/>
  <c r="S30" i="4"/>
  <c r="S31" i="4"/>
  <c r="S32" i="4"/>
  <c r="S33" i="4"/>
  <c r="S34" i="4"/>
  <c r="S35" i="4"/>
  <c r="S36" i="4"/>
  <c r="S37" i="4"/>
  <c r="S38" i="4"/>
  <c r="S39" i="4"/>
  <c r="I14" i="8"/>
  <c r="H14" i="8"/>
  <c r="G14" i="8"/>
  <c r="G17" i="8"/>
  <c r="F14" i="8"/>
  <c r="F17" i="8"/>
  <c r="E14" i="8"/>
  <c r="D14" i="8"/>
  <c r="H45" i="8"/>
  <c r="H48" i="8"/>
  <c r="I45" i="8"/>
  <c r="D45" i="8"/>
  <c r="E45" i="8"/>
  <c r="F45" i="8"/>
  <c r="G45" i="8"/>
  <c r="G48" i="8"/>
  <c r="C45" i="8"/>
  <c r="H36" i="6"/>
  <c r="H32" i="6"/>
  <c r="H30" i="6"/>
  <c r="H29" i="6"/>
  <c r="H26" i="6"/>
  <c r="H24" i="6"/>
  <c r="H22" i="6"/>
  <c r="H20" i="6"/>
  <c r="H19" i="6"/>
  <c r="H21" i="6"/>
  <c r="H17" i="6"/>
  <c r="H16" i="6"/>
  <c r="H15" i="6"/>
  <c r="H14" i="6"/>
  <c r="H12" i="6"/>
  <c r="H11" i="6"/>
  <c r="H10" i="6"/>
  <c r="H8" i="6"/>
  <c r="H7" i="6"/>
  <c r="H5" i="6"/>
  <c r="H4" i="6"/>
  <c r="H6" i="6"/>
  <c r="D36" i="6"/>
  <c r="D32" i="6"/>
  <c r="D30" i="6"/>
  <c r="D29" i="6"/>
  <c r="D26" i="6"/>
  <c r="D24" i="6"/>
  <c r="D22" i="6"/>
  <c r="D20" i="6"/>
  <c r="D21" i="6"/>
  <c r="D19" i="6"/>
  <c r="D17" i="6"/>
  <c r="D16" i="6"/>
  <c r="D15" i="6"/>
  <c r="D14" i="6"/>
  <c r="D13" i="6"/>
  <c r="D12" i="6"/>
  <c r="D11" i="6"/>
  <c r="D10" i="6"/>
  <c r="D8" i="6"/>
  <c r="D7" i="6"/>
  <c r="D9" i="6"/>
  <c r="D18" i="6"/>
  <c r="D5" i="6"/>
  <c r="D4" i="6"/>
  <c r="D6" i="6"/>
  <c r="D59" i="6"/>
  <c r="D47" i="6"/>
  <c r="D44" i="6"/>
  <c r="D56" i="6"/>
  <c r="D66" i="6"/>
  <c r="D69" i="6"/>
  <c r="D71" i="6"/>
  <c r="D73" i="6"/>
  <c r="H59" i="6"/>
  <c r="H47" i="6"/>
  <c r="H44" i="6"/>
  <c r="T26" i="4"/>
  <c r="T25" i="4"/>
  <c r="T24" i="4"/>
  <c r="T21" i="4"/>
  <c r="T19" i="4"/>
  <c r="T18" i="4"/>
  <c r="T17" i="4"/>
  <c r="T13" i="4"/>
  <c r="T39" i="4"/>
  <c r="T12" i="4"/>
  <c r="T11" i="4"/>
  <c r="T37" i="4"/>
  <c r="T10" i="4"/>
  <c r="T36" i="4"/>
  <c r="T9" i="4"/>
  <c r="T35" i="4"/>
  <c r="T8" i="4"/>
  <c r="T7" i="4"/>
  <c r="T6" i="4"/>
  <c r="T5" i="4"/>
  <c r="T80" i="4"/>
  <c r="T79" i="4"/>
  <c r="T78" i="4"/>
  <c r="T77" i="4"/>
  <c r="T76" i="4"/>
  <c r="T75" i="4"/>
  <c r="T74" i="4"/>
  <c r="T73" i="4"/>
  <c r="T72" i="4"/>
  <c r="T71" i="4"/>
  <c r="T68" i="4"/>
  <c r="T55" i="4"/>
  <c r="C76" i="6"/>
  <c r="C59" i="6"/>
  <c r="C66" i="6"/>
  <c r="C69" i="6"/>
  <c r="C71" i="6"/>
  <c r="C47" i="6"/>
  <c r="C56" i="6"/>
  <c r="C44" i="6"/>
  <c r="C21" i="6"/>
  <c r="C9" i="6"/>
  <c r="C18" i="6"/>
  <c r="C28" i="6"/>
  <c r="C31" i="6"/>
  <c r="C33" i="6"/>
  <c r="C6" i="6"/>
  <c r="S26" i="5"/>
  <c r="S39" i="5"/>
  <c r="S80" i="4"/>
  <c r="S79" i="4"/>
  <c r="S78" i="4"/>
  <c r="S77" i="4"/>
  <c r="S76" i="4"/>
  <c r="S75" i="4"/>
  <c r="S74" i="4"/>
  <c r="S73" i="4"/>
  <c r="S72" i="4"/>
  <c r="S71" i="4"/>
  <c r="S68" i="4"/>
  <c r="S55" i="4"/>
  <c r="S81" i="4"/>
  <c r="D37" i="7"/>
  <c r="D39" i="7"/>
  <c r="D9" i="7"/>
  <c r="D17" i="7"/>
  <c r="G59" i="6"/>
  <c r="G47" i="6"/>
  <c r="G56" i="6"/>
  <c r="G66" i="6"/>
  <c r="G69" i="6"/>
  <c r="G71" i="6"/>
  <c r="G73" i="6"/>
  <c r="G76" i="6"/>
  <c r="G44" i="6"/>
  <c r="AJ37" i="1"/>
  <c r="AJ38" i="1"/>
  <c r="AJ39" i="1"/>
  <c r="R37" i="1"/>
  <c r="R38" i="1"/>
  <c r="R39" i="1"/>
  <c r="R27" i="3"/>
  <c r="R24" i="3"/>
  <c r="R30" i="3"/>
  <c r="R48" i="3"/>
  <c r="Q35" i="2"/>
  <c r="R34" i="2"/>
  <c r="R35" i="2"/>
  <c r="Q34" i="2"/>
  <c r="P34" i="2"/>
  <c r="P35" i="2"/>
  <c r="O34" i="2"/>
  <c r="O35" i="2"/>
  <c r="N34" i="2"/>
  <c r="N35" i="2"/>
  <c r="R32" i="2"/>
  <c r="R26" i="2"/>
  <c r="Q26" i="2"/>
  <c r="P26" i="2"/>
  <c r="O26" i="2"/>
  <c r="N26" i="2"/>
  <c r="R13" i="2"/>
  <c r="Q13" i="2"/>
  <c r="P13" i="2"/>
  <c r="O13" i="2"/>
  <c r="N13" i="2"/>
  <c r="Q26" i="5"/>
  <c r="Q39" i="5"/>
  <c r="P26" i="5"/>
  <c r="P39" i="5"/>
  <c r="O26" i="5"/>
  <c r="O39" i="5"/>
  <c r="N26" i="5"/>
  <c r="N39" i="5"/>
  <c r="R26" i="5"/>
  <c r="R39" i="5"/>
  <c r="P39" i="4"/>
  <c r="P38" i="4"/>
  <c r="P37" i="4"/>
  <c r="P36" i="4"/>
  <c r="P35" i="4"/>
  <c r="P34" i="4"/>
  <c r="P33" i="4"/>
  <c r="P32" i="4"/>
  <c r="P31" i="4"/>
  <c r="P30" i="4"/>
  <c r="R39" i="4"/>
  <c r="Q39" i="4"/>
  <c r="O39" i="4"/>
  <c r="R38" i="4"/>
  <c r="Q38" i="4"/>
  <c r="O38" i="4"/>
  <c r="R37" i="4"/>
  <c r="Q37" i="4"/>
  <c r="O37" i="4"/>
  <c r="R36" i="4"/>
  <c r="Q36" i="4"/>
  <c r="O36" i="4"/>
  <c r="R35" i="4"/>
  <c r="Q35" i="4"/>
  <c r="O35" i="4"/>
  <c r="R34" i="4"/>
  <c r="Q34" i="4"/>
  <c r="O34" i="4"/>
  <c r="R33" i="4"/>
  <c r="Q33" i="4"/>
  <c r="O33" i="4"/>
  <c r="R32" i="4"/>
  <c r="Q32" i="4"/>
  <c r="O32" i="4"/>
  <c r="R31" i="4"/>
  <c r="Q31" i="4"/>
  <c r="O31" i="4"/>
  <c r="R30" i="4"/>
  <c r="Q30" i="4"/>
  <c r="R80" i="4"/>
  <c r="Q80" i="4"/>
  <c r="P80" i="4"/>
  <c r="O80" i="4"/>
  <c r="N80" i="4"/>
  <c r="R79" i="4"/>
  <c r="Q79" i="4"/>
  <c r="P79" i="4"/>
  <c r="O79" i="4"/>
  <c r="N79" i="4"/>
  <c r="R78" i="4"/>
  <c r="Q78" i="4"/>
  <c r="P78" i="4"/>
  <c r="O78" i="4"/>
  <c r="N78" i="4"/>
  <c r="R77" i="4"/>
  <c r="Q77" i="4"/>
  <c r="P77" i="4"/>
  <c r="O77" i="4"/>
  <c r="N77" i="4"/>
  <c r="R76" i="4"/>
  <c r="Q76" i="4"/>
  <c r="P76" i="4"/>
  <c r="O76" i="4"/>
  <c r="N76" i="4"/>
  <c r="R75" i="4"/>
  <c r="Q75" i="4"/>
  <c r="P75" i="4"/>
  <c r="O75" i="4"/>
  <c r="N75" i="4"/>
  <c r="R74" i="4"/>
  <c r="Q74" i="4"/>
  <c r="P74" i="4"/>
  <c r="O74" i="4"/>
  <c r="N74" i="4"/>
  <c r="R73" i="4"/>
  <c r="Q73" i="4"/>
  <c r="P73" i="4"/>
  <c r="O73" i="4"/>
  <c r="N73" i="4"/>
  <c r="R72" i="4"/>
  <c r="Q72" i="4"/>
  <c r="P72" i="4"/>
  <c r="O72" i="4"/>
  <c r="N72" i="4"/>
  <c r="R71" i="4"/>
  <c r="Q71" i="4"/>
  <c r="P71" i="4"/>
  <c r="O71" i="4"/>
  <c r="N71" i="4"/>
  <c r="R68" i="4"/>
  <c r="Q68" i="4"/>
  <c r="P68" i="4"/>
  <c r="O68" i="4"/>
  <c r="N68" i="4"/>
  <c r="R55" i="4"/>
  <c r="Q55" i="4"/>
  <c r="Q81" i="4"/>
  <c r="P55" i="4"/>
  <c r="O55" i="4"/>
  <c r="N55" i="4"/>
  <c r="N81" i="4"/>
  <c r="R18" i="1"/>
  <c r="R15" i="1"/>
  <c r="R21" i="1"/>
  <c r="R24" i="1"/>
  <c r="R26" i="1"/>
  <c r="R28" i="1"/>
  <c r="R31" i="1"/>
  <c r="R8" i="1"/>
  <c r="R5" i="1"/>
  <c r="AH39" i="1"/>
  <c r="Q27" i="3"/>
  <c r="Q24" i="3"/>
  <c r="Q48" i="3"/>
  <c r="AI37" i="1"/>
  <c r="AI39" i="1"/>
  <c r="Q37" i="1"/>
  <c r="Q38" i="1"/>
  <c r="Q39" i="1"/>
  <c r="Q18" i="1"/>
  <c r="Q8" i="1"/>
  <c r="Q15" i="1"/>
  <c r="Q21" i="1"/>
  <c r="Q24" i="1"/>
  <c r="Q26" i="1"/>
  <c r="Q28" i="1"/>
  <c r="Q31" i="1"/>
  <c r="Q5" i="1"/>
  <c r="P29" i="3"/>
  <c r="P27" i="3"/>
  <c r="P30" i="3"/>
  <c r="P24" i="3"/>
  <c r="P48" i="3"/>
  <c r="P26" i="1"/>
  <c r="P24" i="1"/>
  <c r="P21" i="1"/>
  <c r="P18" i="1"/>
  <c r="P15" i="1"/>
  <c r="AD38" i="1"/>
  <c r="AE38" i="1"/>
  <c r="AF38" i="1"/>
  <c r="AG38" i="1"/>
  <c r="AH38" i="1"/>
  <c r="AD39" i="1"/>
  <c r="AE39" i="1"/>
  <c r="AF39" i="1"/>
  <c r="AG39" i="1"/>
  <c r="AC39" i="1"/>
  <c r="AC38" i="1"/>
  <c r="AH37" i="1"/>
  <c r="AG37" i="1"/>
  <c r="AF37" i="1"/>
  <c r="AE37" i="1"/>
  <c r="AD37" i="1"/>
  <c r="AC37" i="1"/>
  <c r="L39" i="1"/>
  <c r="M39" i="1"/>
  <c r="N39" i="1"/>
  <c r="O39" i="1"/>
  <c r="P39" i="1"/>
  <c r="K39" i="1"/>
  <c r="L38" i="1"/>
  <c r="M38" i="1"/>
  <c r="N38" i="1"/>
  <c r="O38" i="1"/>
  <c r="P38" i="1"/>
  <c r="K38" i="1"/>
  <c r="L37" i="1"/>
  <c r="M37" i="1"/>
  <c r="N37" i="1"/>
  <c r="O37" i="1"/>
  <c r="P37" i="1"/>
  <c r="K37" i="1"/>
  <c r="AB37" i="1"/>
  <c r="AB39" i="1"/>
  <c r="AA37" i="1"/>
  <c r="AA39" i="1"/>
  <c r="Z37" i="1"/>
  <c r="Z39" i="1"/>
  <c r="Y37" i="1"/>
  <c r="Y39" i="1"/>
  <c r="X37" i="1"/>
  <c r="X39" i="1"/>
  <c r="W37" i="1"/>
  <c r="W39" i="1"/>
  <c r="V37" i="1"/>
  <c r="V39" i="1"/>
  <c r="U37" i="1"/>
  <c r="U39" i="1"/>
  <c r="O29" i="3"/>
  <c r="O27" i="3"/>
  <c r="O30" i="3"/>
  <c r="O24" i="3"/>
  <c r="O48" i="3"/>
  <c r="M34" i="2"/>
  <c r="M35" i="2"/>
  <c r="L32" i="2"/>
  <c r="L34" i="2"/>
  <c r="L35" i="2"/>
  <c r="K32" i="2"/>
  <c r="K34" i="2"/>
  <c r="K35" i="2"/>
  <c r="M26" i="2"/>
  <c r="L26" i="2"/>
  <c r="K26" i="2"/>
  <c r="M13" i="2"/>
  <c r="L13" i="2"/>
  <c r="K13" i="2"/>
  <c r="O18" i="1"/>
  <c r="O8" i="1"/>
  <c r="O5" i="1"/>
  <c r="N29" i="3"/>
  <c r="N27" i="3"/>
  <c r="N30" i="3"/>
  <c r="N24" i="3"/>
  <c r="N48" i="3"/>
  <c r="J34" i="2"/>
  <c r="J35" i="2"/>
  <c r="J32" i="2"/>
  <c r="J26" i="2"/>
  <c r="J13" i="2"/>
  <c r="N30" i="4"/>
  <c r="N31" i="4"/>
  <c r="N32" i="4"/>
  <c r="N33" i="4"/>
  <c r="N34" i="4"/>
  <c r="N35" i="4"/>
  <c r="N36" i="4"/>
  <c r="N37" i="4"/>
  <c r="N38" i="4"/>
  <c r="N39" i="4"/>
  <c r="N27" i="4"/>
  <c r="N14" i="4"/>
  <c r="N18" i="1"/>
  <c r="N8" i="1"/>
  <c r="N5" i="1"/>
  <c r="M18" i="1"/>
  <c r="M8" i="1"/>
  <c r="M5" i="1"/>
  <c r="M39" i="4"/>
  <c r="M38" i="4"/>
  <c r="M37" i="4"/>
  <c r="M36" i="4"/>
  <c r="M35" i="4"/>
  <c r="M40" i="4"/>
  <c r="M34" i="4"/>
  <c r="M33" i="4"/>
  <c r="M32" i="4"/>
  <c r="M31" i="4"/>
  <c r="M30" i="4"/>
  <c r="M27" i="4"/>
  <c r="M14" i="4"/>
  <c r="M80" i="4"/>
  <c r="M79" i="4"/>
  <c r="M78" i="4"/>
  <c r="M77" i="4"/>
  <c r="M76" i="4"/>
  <c r="M75" i="4"/>
  <c r="M74" i="4"/>
  <c r="M73" i="4"/>
  <c r="M72" i="4"/>
  <c r="M71" i="4"/>
  <c r="M68" i="4"/>
  <c r="M55" i="4"/>
  <c r="M26" i="5"/>
  <c r="M39" i="5"/>
  <c r="L27" i="3"/>
  <c r="L30" i="3"/>
  <c r="K27" i="3"/>
  <c r="J27" i="3"/>
  <c r="I27" i="3"/>
  <c r="I30" i="3"/>
  <c r="H27" i="3"/>
  <c r="G27" i="3"/>
  <c r="L24" i="3"/>
  <c r="K24" i="3"/>
  <c r="J24" i="3"/>
  <c r="J30" i="3"/>
  <c r="I24" i="3"/>
  <c r="H24" i="3"/>
  <c r="G24" i="3"/>
  <c r="G30" i="3"/>
  <c r="I34" i="2"/>
  <c r="I35" i="2"/>
  <c r="I32" i="2"/>
  <c r="H32" i="2"/>
  <c r="H34" i="2"/>
  <c r="H35" i="2"/>
  <c r="G32" i="2"/>
  <c r="G34" i="2"/>
  <c r="G35" i="2"/>
  <c r="I26" i="2"/>
  <c r="H26" i="2"/>
  <c r="G26" i="2"/>
  <c r="I13" i="2"/>
  <c r="H13" i="2"/>
  <c r="G13" i="2"/>
  <c r="L26" i="5"/>
  <c r="L39" i="5"/>
  <c r="K26" i="5"/>
  <c r="K39" i="5"/>
  <c r="J26" i="5"/>
  <c r="J39" i="5"/>
  <c r="I26" i="5"/>
  <c r="I39" i="5"/>
  <c r="H26" i="5"/>
  <c r="H39" i="5"/>
  <c r="L80" i="4"/>
  <c r="K80" i="4"/>
  <c r="J80" i="4"/>
  <c r="I80" i="4"/>
  <c r="H80" i="4"/>
  <c r="G80" i="4"/>
  <c r="L79" i="4"/>
  <c r="K79" i="4"/>
  <c r="J79" i="4"/>
  <c r="I79" i="4"/>
  <c r="H79" i="4"/>
  <c r="G79" i="4"/>
  <c r="L78" i="4"/>
  <c r="K78" i="4"/>
  <c r="J78" i="4"/>
  <c r="I78" i="4"/>
  <c r="H78" i="4"/>
  <c r="G78" i="4"/>
  <c r="L77" i="4"/>
  <c r="K77" i="4"/>
  <c r="J77" i="4"/>
  <c r="I77" i="4"/>
  <c r="H77" i="4"/>
  <c r="G77" i="4"/>
  <c r="L76" i="4"/>
  <c r="K76" i="4"/>
  <c r="J76" i="4"/>
  <c r="I76" i="4"/>
  <c r="H76" i="4"/>
  <c r="G76" i="4"/>
  <c r="L75" i="4"/>
  <c r="K75" i="4"/>
  <c r="J75" i="4"/>
  <c r="I75" i="4"/>
  <c r="H75" i="4"/>
  <c r="G75" i="4"/>
  <c r="L74" i="4"/>
  <c r="K74" i="4"/>
  <c r="J74" i="4"/>
  <c r="I74" i="4"/>
  <c r="H74" i="4"/>
  <c r="G74" i="4"/>
  <c r="L73" i="4"/>
  <c r="K73" i="4"/>
  <c r="J73" i="4"/>
  <c r="I73" i="4"/>
  <c r="H73" i="4"/>
  <c r="G73" i="4"/>
  <c r="L72" i="4"/>
  <c r="K72" i="4"/>
  <c r="J72" i="4"/>
  <c r="I72" i="4"/>
  <c r="H72" i="4"/>
  <c r="G72" i="4"/>
  <c r="L71" i="4"/>
  <c r="K71" i="4"/>
  <c r="J71" i="4"/>
  <c r="I71" i="4"/>
  <c r="H71" i="4"/>
  <c r="G71" i="4"/>
  <c r="L68" i="4"/>
  <c r="J68" i="4"/>
  <c r="I68" i="4"/>
  <c r="H68" i="4"/>
  <c r="G68" i="4"/>
  <c r="L55" i="4"/>
  <c r="L81" i="4"/>
  <c r="K55" i="4"/>
  <c r="K81" i="4"/>
  <c r="J55" i="4"/>
  <c r="J81" i="4"/>
  <c r="I55" i="4"/>
  <c r="I81" i="4"/>
  <c r="H55" i="4"/>
  <c r="G55" i="4"/>
  <c r="G81" i="4"/>
  <c r="L18" i="1"/>
  <c r="K18" i="1"/>
  <c r="J18" i="1"/>
  <c r="I18" i="1"/>
  <c r="H18" i="1"/>
  <c r="G18" i="1"/>
  <c r="L8" i="1"/>
  <c r="K8" i="1"/>
  <c r="J8" i="1"/>
  <c r="I8" i="1"/>
  <c r="I15" i="1"/>
  <c r="H8" i="1"/>
  <c r="G8" i="1"/>
  <c r="L5" i="1"/>
  <c r="K5" i="1"/>
  <c r="J5" i="1"/>
  <c r="J15" i="1"/>
  <c r="I5" i="1"/>
  <c r="H5" i="1"/>
  <c r="G5" i="1"/>
  <c r="G15" i="1"/>
  <c r="J48" i="3"/>
  <c r="E34" i="2"/>
  <c r="C34" i="2"/>
  <c r="F32" i="2"/>
  <c r="F34" i="2"/>
  <c r="D32" i="2"/>
  <c r="D34" i="2"/>
  <c r="F26" i="2"/>
  <c r="E26" i="2"/>
  <c r="E35" i="2"/>
  <c r="D26" i="2"/>
  <c r="C26" i="2"/>
  <c r="C35" i="2"/>
  <c r="F13" i="2"/>
  <c r="E13" i="2"/>
  <c r="D13" i="2"/>
  <c r="C13" i="2"/>
  <c r="F80" i="4"/>
  <c r="E80" i="4"/>
  <c r="D80" i="4"/>
  <c r="C80" i="4"/>
  <c r="F79" i="4"/>
  <c r="E79" i="4"/>
  <c r="D79" i="4"/>
  <c r="C79" i="4"/>
  <c r="F78" i="4"/>
  <c r="E78" i="4"/>
  <c r="D78" i="4"/>
  <c r="C78" i="4"/>
  <c r="F77" i="4"/>
  <c r="E77" i="4"/>
  <c r="D77" i="4"/>
  <c r="C77" i="4"/>
  <c r="F76" i="4"/>
  <c r="E76" i="4"/>
  <c r="D76" i="4"/>
  <c r="C76" i="4"/>
  <c r="F75" i="4"/>
  <c r="E75" i="4"/>
  <c r="D75" i="4"/>
  <c r="C75" i="4"/>
  <c r="F74" i="4"/>
  <c r="E74" i="4"/>
  <c r="D74" i="4"/>
  <c r="C74" i="4"/>
  <c r="F73" i="4"/>
  <c r="E73" i="4"/>
  <c r="D73" i="4"/>
  <c r="C73" i="4"/>
  <c r="F72" i="4"/>
  <c r="E72" i="4"/>
  <c r="D72" i="4"/>
  <c r="C72" i="4"/>
  <c r="F71" i="4"/>
  <c r="E71" i="4"/>
  <c r="D71" i="4"/>
  <c r="C71" i="4"/>
  <c r="F68" i="4"/>
  <c r="E68" i="4"/>
  <c r="D68" i="4"/>
  <c r="C68" i="4"/>
  <c r="F55" i="4"/>
  <c r="E55" i="4"/>
  <c r="E81" i="4"/>
  <c r="D55" i="4"/>
  <c r="C55" i="4"/>
  <c r="F18" i="1"/>
  <c r="E18" i="1"/>
  <c r="D18" i="1"/>
  <c r="C18" i="1"/>
  <c r="F8" i="1"/>
  <c r="E8" i="1"/>
  <c r="D8" i="1"/>
  <c r="C8" i="1"/>
  <c r="F5" i="1"/>
  <c r="E5" i="1"/>
  <c r="D5" i="1"/>
  <c r="C5" i="1"/>
  <c r="F27" i="3"/>
  <c r="F30" i="3"/>
  <c r="E27" i="3"/>
  <c r="D27" i="3"/>
  <c r="C27" i="3"/>
  <c r="F24" i="3"/>
  <c r="E24" i="3"/>
  <c r="D24" i="3"/>
  <c r="C24" i="3"/>
  <c r="I48" i="3"/>
  <c r="H48" i="3"/>
  <c r="G48" i="3"/>
  <c r="F48" i="3"/>
  <c r="E48" i="3"/>
  <c r="D48" i="3"/>
  <c r="C48" i="3"/>
  <c r="D35" i="2"/>
  <c r="F35" i="2"/>
  <c r="D15" i="1"/>
  <c r="H15" i="1"/>
  <c r="F15" i="1"/>
  <c r="L15" i="1"/>
  <c r="D21" i="1"/>
  <c r="D24" i="1"/>
  <c r="D26" i="1"/>
  <c r="O15" i="1"/>
  <c r="O21" i="1"/>
  <c r="O24" i="1"/>
  <c r="O26" i="1"/>
  <c r="O28" i="1"/>
  <c r="O31" i="1"/>
  <c r="I21" i="1"/>
  <c r="I24" i="1"/>
  <c r="I26" i="1"/>
  <c r="F21" i="1"/>
  <c r="F24" i="1"/>
  <c r="F26" i="1"/>
  <c r="C15" i="1"/>
  <c r="C21" i="1"/>
  <c r="C24" i="1"/>
  <c r="C26" i="1"/>
  <c r="G21" i="1"/>
  <c r="G24" i="1"/>
  <c r="G26" i="1"/>
  <c r="J21" i="1"/>
  <c r="J24" i="1"/>
  <c r="J26" i="1"/>
  <c r="E15" i="1"/>
  <c r="E21" i="1"/>
  <c r="E24" i="1"/>
  <c r="E26" i="1"/>
  <c r="H21" i="1"/>
  <c r="H24" i="1"/>
  <c r="H26" i="1"/>
  <c r="K15" i="1"/>
  <c r="K21" i="1"/>
  <c r="K24" i="1"/>
  <c r="K26" i="1"/>
  <c r="N15" i="1"/>
  <c r="N21" i="1"/>
  <c r="N24" i="1"/>
  <c r="N26" i="1"/>
  <c r="N28" i="1"/>
  <c r="N31" i="1"/>
  <c r="L21" i="1"/>
  <c r="L24" i="1"/>
  <c r="L26" i="1"/>
  <c r="M15" i="1"/>
  <c r="M21" i="1"/>
  <c r="M24" i="1"/>
  <c r="M26" i="1"/>
  <c r="AI38" i="1"/>
  <c r="O30" i="4"/>
  <c r="G6" i="6"/>
  <c r="G9" i="6"/>
  <c r="G21" i="6"/>
  <c r="K30" i="3"/>
  <c r="Q30" i="3"/>
  <c r="H30" i="3"/>
  <c r="I17" i="8"/>
  <c r="U38" i="4"/>
  <c r="G17" i="7"/>
  <c r="C17" i="7"/>
  <c r="F56" i="6"/>
  <c r="T33" i="4"/>
  <c r="C48" i="8"/>
  <c r="H40" i="7"/>
  <c r="D40" i="7"/>
  <c r="I40" i="7"/>
  <c r="C40" i="7"/>
  <c r="F40" i="7"/>
  <c r="J40" i="7"/>
  <c r="G40" i="7"/>
  <c r="E40" i="7"/>
  <c r="X6" i="5"/>
  <c r="G18" i="6"/>
  <c r="G28" i="6"/>
  <c r="G31" i="6"/>
  <c r="G33" i="6"/>
  <c r="L44" i="6"/>
  <c r="L56" i="6"/>
  <c r="L66" i="6"/>
  <c r="L69" i="6"/>
  <c r="L71" i="6"/>
  <c r="L73" i="6"/>
  <c r="K44" i="6"/>
  <c r="K56" i="6"/>
  <c r="K89" i="6"/>
  <c r="O40" i="4"/>
  <c r="U14" i="4"/>
  <c r="W32" i="4"/>
  <c r="N40" i="4"/>
  <c r="Z39" i="4"/>
  <c r="D81" i="4"/>
  <c r="Y34" i="4"/>
  <c r="Y27" i="4"/>
  <c r="Z34" i="4"/>
  <c r="Z37" i="4"/>
  <c r="O81" i="4"/>
  <c r="T31" i="4"/>
  <c r="T30" i="4"/>
  <c r="T40" i="4"/>
  <c r="W14" i="4"/>
  <c r="M81" i="4"/>
  <c r="T32" i="4"/>
  <c r="W30" i="4"/>
  <c r="Z32" i="4"/>
  <c r="H81" i="4"/>
  <c r="U34" i="4"/>
  <c r="W27" i="4"/>
  <c r="Q40" i="4"/>
  <c r="T81" i="4"/>
  <c r="V34" i="4"/>
  <c r="X12" i="4"/>
  <c r="X38" i="4"/>
  <c r="X9" i="4"/>
  <c r="X35" i="4"/>
  <c r="U81" i="4"/>
  <c r="W35" i="4"/>
  <c r="T38" i="4"/>
  <c r="C81" i="4"/>
  <c r="P40" i="4"/>
  <c r="Y37" i="4"/>
  <c r="Z14" i="4"/>
  <c r="R40" i="4"/>
  <c r="T14" i="4"/>
  <c r="V39" i="4"/>
  <c r="W31" i="4"/>
  <c r="W37" i="4"/>
  <c r="Y81" i="4"/>
  <c r="Z81" i="4"/>
  <c r="F81" i="4"/>
  <c r="W39" i="4"/>
  <c r="P81" i="4"/>
  <c r="R81" i="4"/>
  <c r="T34" i="4"/>
  <c r="T27" i="4"/>
  <c r="U31" i="4"/>
  <c r="U27" i="4"/>
  <c r="V27" i="4"/>
  <c r="X32" i="4"/>
  <c r="X37" i="4"/>
  <c r="W34" i="4"/>
  <c r="Z27" i="4"/>
  <c r="V81" i="4"/>
  <c r="W81" i="4"/>
  <c r="X81" i="4"/>
  <c r="X34" i="4"/>
  <c r="X27" i="4"/>
  <c r="Z40" i="4"/>
  <c r="X39" i="4"/>
  <c r="V31" i="4"/>
  <c r="X5" i="4"/>
  <c r="X31" i="4"/>
  <c r="W36" i="4"/>
  <c r="Y30" i="4"/>
  <c r="V30" i="4"/>
  <c r="L14" i="8"/>
  <c r="M8" i="8"/>
  <c r="V5" i="5"/>
  <c r="V18" i="5"/>
  <c r="Z5" i="5"/>
  <c r="Z18" i="5"/>
  <c r="X7" i="5"/>
  <c r="I56" i="6"/>
  <c r="I66" i="6"/>
  <c r="I69" i="6"/>
  <c r="I71" i="6"/>
  <c r="I73" i="6"/>
  <c r="H56" i="6"/>
  <c r="H66" i="6"/>
  <c r="H69" i="6"/>
  <c r="H71" i="6"/>
  <c r="H73" i="6"/>
  <c r="I13" i="6"/>
  <c r="X40" i="4"/>
  <c r="W40" i="4"/>
  <c r="U40" i="4"/>
  <c r="V40" i="4"/>
  <c r="X14" i="4"/>
  <c r="Y40" i="4"/>
  <c r="X5" i="5"/>
  <c r="X18" i="5"/>
  <c r="X39" i="5"/>
  <c r="W5" i="5"/>
  <c r="W18" i="5"/>
  <c r="F48" i="8"/>
  <c r="J48" i="8"/>
  <c r="K48" i="8"/>
  <c r="E48" i="8"/>
  <c r="D48" i="8"/>
  <c r="E17" i="8"/>
  <c r="K14" i="8"/>
  <c r="N20" i="8"/>
  <c r="N29" i="8"/>
  <c r="H17" i="8"/>
  <c r="I48" i="8"/>
  <c r="N48" i="8"/>
  <c r="O14" i="8"/>
  <c r="J20" i="8"/>
  <c r="J29" i="8"/>
  <c r="L7" i="8"/>
  <c r="O7" i="8"/>
  <c r="O17" i="8"/>
  <c r="J7" i="8"/>
  <c r="J17" i="8"/>
  <c r="N7" i="8"/>
  <c r="L20" i="8"/>
  <c r="L29" i="8"/>
  <c r="N14" i="8"/>
  <c r="L5" i="8"/>
  <c r="K7" i="8"/>
  <c r="M10" i="8"/>
  <c r="M7" i="8"/>
  <c r="O48" i="8"/>
  <c r="D17" i="8"/>
  <c r="K20" i="8"/>
  <c r="K29" i="8"/>
  <c r="L48" i="8"/>
  <c r="M48" i="8"/>
  <c r="O20" i="8"/>
  <c r="O29" i="8"/>
  <c r="M14" i="8"/>
  <c r="M28" i="8"/>
  <c r="M24" i="8"/>
  <c r="M20" i="8"/>
  <c r="M29" i="8"/>
  <c r="K17" i="8"/>
  <c r="N17" i="8"/>
  <c r="L17" i="8"/>
  <c r="M17" i="8"/>
  <c r="O56" i="6"/>
  <c r="O89" i="6"/>
  <c r="O6" i="6"/>
  <c r="S27" i="3"/>
  <c r="Y27" i="3"/>
  <c r="V27" i="3"/>
  <c r="S30" i="3"/>
  <c r="X27" i="3"/>
  <c r="W21" i="3"/>
  <c r="T27" i="3"/>
  <c r="V21" i="3"/>
  <c r="U21" i="3"/>
  <c r="T21" i="3"/>
  <c r="Z21" i="3"/>
  <c r="Y21" i="3"/>
  <c r="X21" i="3"/>
  <c r="U25" i="3"/>
  <c r="U24" i="3"/>
  <c r="U30" i="3"/>
  <c r="Y24" i="3"/>
  <c r="Y30" i="3"/>
  <c r="T24" i="3"/>
  <c r="T30" i="3"/>
  <c r="X24" i="3"/>
  <c r="W24" i="3"/>
  <c r="W30" i="3"/>
  <c r="V24" i="3"/>
  <c r="V30" i="3"/>
  <c r="U28" i="3"/>
  <c r="U27" i="3"/>
  <c r="Z28" i="3"/>
  <c r="Z27" i="3"/>
  <c r="Z12" i="3"/>
  <c r="Y12" i="3"/>
  <c r="X12" i="3"/>
  <c r="W12" i="3"/>
  <c r="T12" i="3"/>
  <c r="V12" i="3"/>
  <c r="U6" i="3"/>
  <c r="Z25" i="3"/>
  <c r="Z24" i="3"/>
  <c r="S12" i="3"/>
  <c r="S21" i="3"/>
  <c r="U12" i="3"/>
  <c r="Y37" i="3"/>
  <c r="U37" i="3"/>
  <c r="V37" i="3"/>
  <c r="T37" i="3"/>
  <c r="W37" i="3"/>
  <c r="X30" i="3"/>
  <c r="Z30" i="3"/>
  <c r="Z37" i="3"/>
  <c r="L40" i="7"/>
  <c r="N89" i="6"/>
  <c r="N66" i="6"/>
  <c r="N69" i="6"/>
  <c r="N71" i="6"/>
  <c r="N73" i="6"/>
  <c r="N76" i="6"/>
  <c r="E66" i="6"/>
  <c r="E69" i="6"/>
  <c r="E71" i="6"/>
  <c r="E73" i="6"/>
  <c r="F35" i="6"/>
  <c r="O35" i="6"/>
  <c r="O76" i="6"/>
  <c r="L12" i="6"/>
  <c r="L18" i="6"/>
  <c r="L28" i="6"/>
  <c r="L31" i="6"/>
  <c r="L33" i="6"/>
  <c r="L89" i="6"/>
  <c r="E9" i="6"/>
  <c r="J18" i="6"/>
  <c r="N4" i="6"/>
  <c r="N6" i="6"/>
  <c r="N18" i="6"/>
  <c r="J21" i="6"/>
  <c r="J28" i="6"/>
  <c r="J31" i="6"/>
  <c r="J33" i="6"/>
  <c r="J56" i="6"/>
  <c r="J66" i="6"/>
  <c r="J69" i="6"/>
  <c r="J71" i="6"/>
  <c r="J73" i="6"/>
  <c r="J35" i="6"/>
  <c r="M4" i="6"/>
  <c r="M6" i="6"/>
  <c r="M18" i="6"/>
  <c r="H9" i="6"/>
  <c r="H18" i="6"/>
  <c r="I9" i="6"/>
  <c r="I18" i="6"/>
  <c r="F6" i="6"/>
  <c r="K18" i="6"/>
  <c r="K28" i="6"/>
  <c r="K31" i="6"/>
  <c r="K33" i="6"/>
  <c r="M21" i="6"/>
  <c r="M28" i="6"/>
  <c r="M31" i="6"/>
  <c r="M33" i="6"/>
  <c r="N21" i="6"/>
  <c r="E6" i="6"/>
  <c r="K35" i="6"/>
  <c r="K76" i="6"/>
  <c r="J76" i="6"/>
  <c r="F76" i="6"/>
  <c r="D28" i="6"/>
  <c r="D31" i="6"/>
  <c r="D33" i="6"/>
  <c r="L35" i="6"/>
  <c r="L76" i="6"/>
  <c r="D76" i="6"/>
  <c r="D35" i="6"/>
  <c r="N35" i="6"/>
  <c r="H35" i="6"/>
  <c r="H76" i="6"/>
  <c r="F18" i="6"/>
  <c r="F28" i="6"/>
  <c r="F31" i="6"/>
  <c r="F33" i="6"/>
  <c r="I35" i="6"/>
  <c r="I76" i="6"/>
  <c r="M76" i="6"/>
  <c r="M35" i="6"/>
  <c r="I28" i="6"/>
  <c r="I31" i="6"/>
  <c r="I33" i="6"/>
  <c r="E18" i="6"/>
  <c r="E28" i="6"/>
  <c r="E31" i="6"/>
  <c r="E33" i="6"/>
  <c r="E76" i="6"/>
  <c r="E35" i="6"/>
  <c r="N28" i="6"/>
  <c r="N31" i="6"/>
  <c r="N33" i="6"/>
</calcChain>
</file>

<file path=xl/sharedStrings.xml><?xml version="1.0" encoding="utf-8"?>
<sst xmlns="http://schemas.openxmlformats.org/spreadsheetml/2006/main" count="1471" uniqueCount="587">
  <si>
    <t>Interest expense</t>
  </si>
  <si>
    <t>Fee and commission income</t>
  </si>
  <si>
    <t>Fee and commission expense</t>
  </si>
  <si>
    <t>Net fee and commission income</t>
  </si>
  <si>
    <t>Dividend income</t>
  </si>
  <si>
    <t>Result on investment financial assets</t>
  </si>
  <si>
    <t>Other operating income</t>
  </si>
  <si>
    <t>General and administrative expenses</t>
  </si>
  <si>
    <t>Impairment losses on financial assets</t>
  </si>
  <si>
    <t>Impairment losses on non-financial assets</t>
  </si>
  <si>
    <t>Depreciation and amortization</t>
  </si>
  <si>
    <t>Other operating expenses</t>
  </si>
  <si>
    <t>Operating profit</t>
  </si>
  <si>
    <t>Share of profit of associates</t>
  </si>
  <si>
    <t>Profit / (loss) before taxes</t>
  </si>
  <si>
    <t>Corporate income tax</t>
  </si>
  <si>
    <t>Profit / (loss) after taxes</t>
  </si>
  <si>
    <t>Attributable to:</t>
  </si>
  <si>
    <t>Owners of the parent</t>
  </si>
  <si>
    <t>Non-controlling interests</t>
  </si>
  <si>
    <t>Weighted average number of ordinary shares</t>
  </si>
  <si>
    <t>Earnings (losses) per ordinary share (in PLN)</t>
  </si>
  <si>
    <t>Foreign exchange result</t>
  </si>
  <si>
    <t>PLN '000</t>
  </si>
  <si>
    <t>PROFIT &amp; LOSS ACCOUNT - QUARTERLY</t>
  </si>
  <si>
    <t>Interest income*</t>
  </si>
  <si>
    <t>Net interest income*</t>
  </si>
  <si>
    <t>Operating income**</t>
  </si>
  <si>
    <t>Operating expenses***</t>
  </si>
  <si>
    <t>*** without impairment losses on financial and non-fiancial assets</t>
  </si>
  <si>
    <t>** including other operating expenses</t>
  </si>
  <si>
    <t>Cash, balances with the Central Bank</t>
  </si>
  <si>
    <t>Loans and advances to banks</t>
  </si>
  <si>
    <t>Financial assets valued at fair value through profit and loss (held for trading) and adjustment from fair value hedge</t>
  </si>
  <si>
    <t>Hedging derivatives</t>
  </si>
  <si>
    <t>Loans and advances to customers</t>
  </si>
  <si>
    <t>Investment financial assets</t>
  </si>
  <si>
    <t>Investments in associates</t>
  </si>
  <si>
    <t>Receivables from securities bought with sell-back clause (loans and advances)</t>
  </si>
  <si>
    <t>Other assets</t>
  </si>
  <si>
    <t>Total Assets</t>
  </si>
  <si>
    <t>Property, plant and equipment and intangible assets</t>
  </si>
  <si>
    <t>Deposits from banks</t>
  </si>
  <si>
    <t>Deposits from customers</t>
  </si>
  <si>
    <t>Liabilities from securities sold with buy-back clause</t>
  </si>
  <si>
    <t>Debt securities</t>
  </si>
  <si>
    <t xml:space="preserve">Provisions </t>
  </si>
  <si>
    <t>Other liabilities</t>
  </si>
  <si>
    <t>Subordinated debt</t>
  </si>
  <si>
    <t>Total Liabilities</t>
  </si>
  <si>
    <t>EQUITY</t>
  </si>
  <si>
    <t>Share capital</t>
  </si>
  <si>
    <t>Share premium</t>
  </si>
  <si>
    <t>Revaluation reserve</t>
  </si>
  <si>
    <t>Retained earnings</t>
  </si>
  <si>
    <t>Total equity attributable to owners of the parent</t>
  </si>
  <si>
    <t>Total Equity</t>
  </si>
  <si>
    <t>Total Liabilities and Equity</t>
  </si>
  <si>
    <t>FEES &amp; COMMISSIONS - QUARTERLY</t>
  </si>
  <si>
    <t>Resulting from accounts service</t>
  </si>
  <si>
    <t>Resulting from loans granted</t>
  </si>
  <si>
    <t>Resulting from guarantees and sureties granted</t>
  </si>
  <si>
    <t>Resulting from payment and credit cards</t>
  </si>
  <si>
    <t>Resulting from sale of insurance products</t>
  </si>
  <si>
    <t>Resulting from distribution of investment funds units and other savings products</t>
  </si>
  <si>
    <t>Resulting from brokerage and custody service</t>
  </si>
  <si>
    <t>Resulting from investment funds managed by the Group</t>
  </si>
  <si>
    <t>Other</t>
  </si>
  <si>
    <t>Total</t>
  </si>
  <si>
    <t>Resulting from money transfers, cash payments and withdrawals and other payment transactions</t>
  </si>
  <si>
    <t>Costs of advertising, promotion and representation</t>
  </si>
  <si>
    <t>Costs of renting</t>
  </si>
  <si>
    <t>Costs of buildings maintenance, equipment and materials</t>
  </si>
  <si>
    <t>ATM and cash costs</t>
  </si>
  <si>
    <t xml:space="preserve">Costs of consultancy, audit and legal advisory and translation </t>
  </si>
  <si>
    <t xml:space="preserve">Taxes and fees </t>
  </si>
  <si>
    <t>KIR clearing charges</t>
  </si>
  <si>
    <t>PFRON costs</t>
  </si>
  <si>
    <t>Banking Guarantee Fund costs</t>
  </si>
  <si>
    <t>Financial Supervision costs</t>
  </si>
  <si>
    <t>General administrative costs:</t>
  </si>
  <si>
    <t>* pro-forma data: interest on swaps are presented in Net Interest Income whereas in formal reporting it is presented under Result on Financial Instruments</t>
  </si>
  <si>
    <t>Deposits</t>
  </si>
  <si>
    <t xml:space="preserve"> - retail</t>
  </si>
  <si>
    <t xml:space="preserve"> - including leasing</t>
  </si>
  <si>
    <t xml:space="preserve"> - including mortgage</t>
  </si>
  <si>
    <t xml:space="preserve"> - other retail</t>
  </si>
  <si>
    <t>TOTAL NET LOANS</t>
  </si>
  <si>
    <t>TOTAL GROSS LOANS</t>
  </si>
  <si>
    <t>Retail</t>
  </si>
  <si>
    <t>Staff costs</t>
  </si>
  <si>
    <t>CUSTOMER DEPOSITS</t>
  </si>
  <si>
    <t xml:space="preserve">W tym przypadający na: </t>
  </si>
  <si>
    <t xml:space="preserve">Akcjonariuszy jednostki dominującej </t>
  </si>
  <si>
    <t>Akcjonariuszy mniejszościowych</t>
  </si>
  <si>
    <t>Średnia ważona liczba akcji zwykłych</t>
  </si>
  <si>
    <t>Zysk (strata) na jedną akcję zwykłą (w zł)</t>
  </si>
  <si>
    <t>Koszty z tytułu odsetek</t>
  </si>
  <si>
    <t>Wynik z tytułu odsetek*</t>
  </si>
  <si>
    <t>Przychody z tytułu prowizji</t>
  </si>
  <si>
    <t xml:space="preserve">Koszty z tytułu opłat i prowizji </t>
  </si>
  <si>
    <t xml:space="preserve">Wynik z tytułu prowizji </t>
  </si>
  <si>
    <t xml:space="preserve">Przychody z tytułu dywidend </t>
  </si>
  <si>
    <t>Wynik z inwestycyjnych aktywów finansowych</t>
  </si>
  <si>
    <t>Wynik z pozycji wymiany</t>
  </si>
  <si>
    <t xml:space="preserve">Pozostałe przychody operacyjne </t>
  </si>
  <si>
    <t xml:space="preserve">Pozostałe koszty operacyjne </t>
  </si>
  <si>
    <t xml:space="preserve">Koszty działania  </t>
  </si>
  <si>
    <t xml:space="preserve">Amortyzacja </t>
  </si>
  <si>
    <t>Przychody operacyjne**</t>
  </si>
  <si>
    <t>Koszty operacyjne ***</t>
  </si>
  <si>
    <t>Koszty z tytułu utraty wartości aktywów finansowych</t>
  </si>
  <si>
    <t>Koszty z tytułu utraty wartości aktywów niefinansowych</t>
  </si>
  <si>
    <t xml:space="preserve">Wynik na działalności operacyjnej </t>
  </si>
  <si>
    <t>Udział w zyskach jednostek podporządkowanych</t>
  </si>
  <si>
    <t>Wynik finansowy przed opodatkowaniem</t>
  </si>
  <si>
    <t>Wynik finansowy po opodatkowaniu</t>
  </si>
  <si>
    <t>Podatek dochodowy</t>
  </si>
  <si>
    <t xml:space="preserve">Kasa, środki w banku centralnym </t>
  </si>
  <si>
    <t xml:space="preserve">Lokaty w innych bankach oraz kredyty i pożyczki udzielone innym bankom </t>
  </si>
  <si>
    <t>Instrumenty pochodne zabezpieczające</t>
  </si>
  <si>
    <t xml:space="preserve">Kredyty i pożyczki udzielone klientom </t>
  </si>
  <si>
    <t>Inwestycyjne aktywa finansowe</t>
  </si>
  <si>
    <t>Inwestycje w jednostki podporządkowane</t>
  </si>
  <si>
    <t xml:space="preserve">Należności z tytułu zakupionych papierów wartościowych z przyrzeczeniem odkupu </t>
  </si>
  <si>
    <t>Rzeczowe aktywa trwałe i wartości niematerialne</t>
  </si>
  <si>
    <t xml:space="preserve">Pozostałe aktywa </t>
  </si>
  <si>
    <t>A k t y w a   r a z e m</t>
  </si>
  <si>
    <t>Zobowiązania wobec banków</t>
  </si>
  <si>
    <t>Zobowiązania wobec klientów</t>
  </si>
  <si>
    <t>Zobowiązania z tytułu sprzedanych papierów wartościowych z udzielonym przyrzeczeniem odkupu</t>
  </si>
  <si>
    <t>Zobowiązania z tytułu emisji dłużnych papierów wartościowych</t>
  </si>
  <si>
    <t xml:space="preserve">Rezerwy </t>
  </si>
  <si>
    <t xml:space="preserve">Pozostałe zobowiązania </t>
  </si>
  <si>
    <t xml:space="preserve">Zobowiązania podporządkowane </t>
  </si>
  <si>
    <t xml:space="preserve">Zobowiązania ogółem </t>
  </si>
  <si>
    <t xml:space="preserve">KAPITAŁY </t>
  </si>
  <si>
    <t xml:space="preserve">Kapitał zakładowy </t>
  </si>
  <si>
    <t>Kapitał ze sprzedaży akcji powyżej wart. nominalnej</t>
  </si>
  <si>
    <t>Kapitał z aktualizacji wyceny</t>
  </si>
  <si>
    <t>Zyski zatrzymane</t>
  </si>
  <si>
    <t>Kapitał własny przypadający na akcjonariuszy jednostki dominującej</t>
  </si>
  <si>
    <t>Kapitał własny akcjonariuszy mniejszościowych</t>
  </si>
  <si>
    <t>Kapitały razem</t>
  </si>
  <si>
    <t>P a s y w a   r a z e m</t>
  </si>
  <si>
    <t>Result on financial instruments valued at fair value through P&amp;L (held for trading) *</t>
  </si>
  <si>
    <t>Prowizje za prowadzenie rachunków</t>
  </si>
  <si>
    <t>Prowizje za realizację przelewów, wpłat i wypłat gotówkowych oraz inne transakcje płatnicze</t>
  </si>
  <si>
    <t>Prowizje z tytułu udzielonych kredytów i pożyczek</t>
  </si>
  <si>
    <t>Prowizje z tytułu udzielonych gwarancji i poręczeń</t>
  </si>
  <si>
    <t>Prowizje za obsługę kart płatniczych i kredytowych</t>
  </si>
  <si>
    <t>Prowizje z tytułu sprzedaży produktów ubezpieczeniowych</t>
  </si>
  <si>
    <t>Prowizje z tytułu dystrybucji jednostek uczestnictwa i innych produktów oszczędnościowych</t>
  </si>
  <si>
    <t>Prowizje z tytułu działalności maklerskiej i powierniczej</t>
  </si>
  <si>
    <t xml:space="preserve">Prowizje z tytułu funduszy inwestycyjnych zarządzanych przez Grupę </t>
  </si>
  <si>
    <t>Pozostałe prowizje</t>
  </si>
  <si>
    <t>Razem:</t>
  </si>
  <si>
    <t>Prowizje z tytułu funduszy inwestycyjnych zarządzanych przez Grupę</t>
  </si>
  <si>
    <t>Koszty pracownicze</t>
  </si>
  <si>
    <t>Koszty reklamy, promocji i reprezentacji</t>
  </si>
  <si>
    <t>Koszty wynajmu</t>
  </si>
  <si>
    <t>Koszty utrzymania budynków, wyposażenia, materiałów</t>
  </si>
  <si>
    <t>Koszty bankomatów i obsługi gotówki</t>
  </si>
  <si>
    <t>Koszty usług doradczych, audytowych, prawniczych, tłumaczeń</t>
  </si>
  <si>
    <t>Podatki i opłaty różne</t>
  </si>
  <si>
    <t>Koszty KIR</t>
  </si>
  <si>
    <t>Koszty PFRON</t>
  </si>
  <si>
    <t>Koszty Nadzoru Finansowego</t>
  </si>
  <si>
    <t>Pozostałe</t>
  </si>
  <si>
    <t>Wynik z tytułu prowizji i opłat   tys.zł</t>
  </si>
  <si>
    <t>Przychody z tytułu prowizji i opłat   tys.zł</t>
  </si>
  <si>
    <t>Koszty z tytułu prowizji   tys.zł</t>
  </si>
  <si>
    <t>tys. zł</t>
  </si>
  <si>
    <t>Koszty ogólno - administracyjne:</t>
  </si>
  <si>
    <t>DEPOZYTY KLIENTÓW</t>
  </si>
  <si>
    <t>Depozyty</t>
  </si>
  <si>
    <t xml:space="preserve"> - detaliczne</t>
  </si>
  <si>
    <t xml:space="preserve"> - przedsiebiorstwa i sektor publiczny</t>
  </si>
  <si>
    <t>Detaliczne</t>
  </si>
  <si>
    <t xml:space="preserve"> - w tym hipoteczne</t>
  </si>
  <si>
    <t xml:space="preserve"> - pozostałe detaliczne</t>
  </si>
  <si>
    <t>Dla przedsiębiorstw</t>
  </si>
  <si>
    <t xml:space="preserve"> - w tym leasing</t>
  </si>
  <si>
    <t xml:space="preserve"> - pozostałe dla przedsiębiorstw</t>
  </si>
  <si>
    <t>Kredyty netto razem</t>
  </si>
  <si>
    <t>Kredyty brutto razem</t>
  </si>
  <si>
    <t xml:space="preserve">PROFIT &amp; LOSS ACCOUNT - YEAR TO DATE </t>
  </si>
  <si>
    <t xml:space="preserve">FEES &amp; COMMISSIONS - YEAR TO DATE </t>
  </si>
  <si>
    <t>BALANCE SHEET</t>
  </si>
  <si>
    <t>1.01.2014 -31.03.2014</t>
  </si>
  <si>
    <t>31.03.2014</t>
  </si>
  <si>
    <t>1.04.2014 -30.06.2014</t>
  </si>
  <si>
    <t>1.01.2014 -30.06.2014</t>
  </si>
  <si>
    <t>30.06.2014</t>
  </si>
  <si>
    <t>Koszty informatyki i łączności</t>
  </si>
  <si>
    <t>IT and communication costs</t>
  </si>
  <si>
    <t>1.01.2014 -30.09.2014</t>
  </si>
  <si>
    <t>1.07.2014 -30.09.2014</t>
  </si>
  <si>
    <t>30.09.2014</t>
  </si>
  <si>
    <t>Mortgage loans</t>
  </si>
  <si>
    <t>Cash loans</t>
  </si>
  <si>
    <t>New assets leased</t>
  </si>
  <si>
    <t>Factoring turnover</t>
  </si>
  <si>
    <t>ASSETS (PLN'000)</t>
  </si>
  <si>
    <t>A K T Y W A (tys. zł)</t>
  </si>
  <si>
    <t>LIABILITIES (PLN'000)</t>
  </si>
  <si>
    <t>PA S Y W A (tys. zł)</t>
  </si>
  <si>
    <t>Wynik z instr. finansowych wycenianych do wartości godziwej przez RZiS (przeznaczone do obrotu) *</t>
  </si>
  <si>
    <t>NEW LOANS DISBURSEMENT (quarterly)</t>
  </si>
  <si>
    <t>Kredyty hipoteczne</t>
  </si>
  <si>
    <t>Kredyty gotówkowe</t>
  </si>
  <si>
    <t>Aktywa oddane w leasing</t>
  </si>
  <si>
    <t>Obroty faktoringowe</t>
  </si>
  <si>
    <t>WYPŁATY NOWYCH KREDYTÓW (kwartalnie)</t>
  </si>
  <si>
    <t>31.12.2014</t>
  </si>
  <si>
    <t>1.10.2014 -31.12.2014</t>
  </si>
  <si>
    <t>1.01.2014 -31.12.2014</t>
  </si>
  <si>
    <t>GENERAL AND ADMINISTRATIVE EXPENSES* - YEAR TO DATE</t>
  </si>
  <si>
    <t>* without depreciation</t>
  </si>
  <si>
    <t>1.01.2015 -31.03.2015</t>
  </si>
  <si>
    <t>31.03.2015</t>
  </si>
  <si>
    <t>Employment (FTE)</t>
  </si>
  <si>
    <t>Number of branches</t>
  </si>
  <si>
    <t>Zatrudnienie (etaty)</t>
  </si>
  <si>
    <t>Liczba oddziałów</t>
  </si>
  <si>
    <t xml:space="preserve"> - companies &amp; public</t>
  </si>
  <si>
    <t>Companies</t>
  </si>
  <si>
    <t xml:space="preserve"> - other loans to companies</t>
  </si>
  <si>
    <t>OTHER CUSTOMER FUNDS</t>
  </si>
  <si>
    <t>POZOSTAŁE ŚRODKI KLIENTÓW</t>
  </si>
  <si>
    <t>Investment products</t>
  </si>
  <si>
    <t>Produkty inwestycyjne</t>
  </si>
  <si>
    <t xml:space="preserve"> - Millennium TFI funds</t>
  </si>
  <si>
    <t xml:space="preserve"> - fundusze Millennium TFI </t>
  </si>
  <si>
    <t xml:space="preserve"> - Third party funds and other products</t>
  </si>
  <si>
    <t xml:space="preserve"> - fundusze podmiotów zewnętrznych i inne produkty </t>
  </si>
  <si>
    <t>30.06.2015</t>
  </si>
  <si>
    <t>1.04.2015 -30.06.2015</t>
  </si>
  <si>
    <t>1.01.2015 -30.06.2015</t>
  </si>
  <si>
    <t>1.01.2015 -30.09.2015</t>
  </si>
  <si>
    <t>1.07.2015 -30.09.2015</t>
  </si>
  <si>
    <t>30.09.2015</t>
  </si>
  <si>
    <t>1.01.2015 -31.12.2015</t>
  </si>
  <si>
    <t>1.10.2015 -31.12.2015</t>
  </si>
  <si>
    <t>31.12.2015</t>
  </si>
  <si>
    <t>1.01.2016 -31.03.2016</t>
  </si>
  <si>
    <t>31.03.2016</t>
  </si>
  <si>
    <t>Banking tax</t>
  </si>
  <si>
    <t>Podatek bankowy</t>
  </si>
  <si>
    <t>Aktywa finansowe wyceniane do wartości godziwej przez rachunek zysków i strat (przeznaczone do obrotu) oraz korekta z tytułu rachunkowości zabezpieczeń wartości godziwej</t>
  </si>
  <si>
    <t>Zobowiązania finansowe wyceniane do wartości godziwej przez rachunek zysków i strat (przeznaczone do obrotu) oraz korekta z tytułu rachunkowości zabezpieczeń wartości godziwej</t>
  </si>
  <si>
    <t>Financial liabilities valued at fair value through profit and loss (held for trading) and adjustment from fair value hedge</t>
  </si>
  <si>
    <t>1.01.2016 -30.06.2016</t>
  </si>
  <si>
    <t>1.04.2016 -30.06.2016</t>
  </si>
  <si>
    <t>30.06.2016</t>
  </si>
  <si>
    <t>30.09.2016</t>
  </si>
  <si>
    <t>1.07.2016 -30.09.2016</t>
  </si>
  <si>
    <t>1.01.2016 -30.09.2016</t>
  </si>
  <si>
    <t>Przychody z tytułu odsetek *</t>
  </si>
  <si>
    <t>1.01.2016 -31.12.2016</t>
  </si>
  <si>
    <t>1.10.2016 -31.12.2016</t>
  </si>
  <si>
    <t>31.12.2016</t>
  </si>
  <si>
    <t>1.01.2017 -31.03.2017</t>
  </si>
  <si>
    <t>31.03.2017</t>
  </si>
  <si>
    <t>Interest income IFRS</t>
  </si>
  <si>
    <t>Net interest income IFRS</t>
  </si>
  <si>
    <t>Interest from SWAPs</t>
  </si>
  <si>
    <t>1.01.2017 -30.06.2017</t>
  </si>
  <si>
    <t xml:space="preserve">Result on financial instruments valued at fair value through P&amp;L (with SWAP interest points) </t>
  </si>
  <si>
    <t>Odsetki od transakcji SWAP</t>
  </si>
  <si>
    <t>Wynik odsetkowy MSSF</t>
  </si>
  <si>
    <t>Przychody odsetkowe wg MSSF</t>
  </si>
  <si>
    <t xml:space="preserve">Wynik z instr. finansowych wycenianych do wartości godziwej przez RZiS (z odsetkami SWAP)  </t>
  </si>
  <si>
    <t>1.04.2017 -30.06.2017</t>
  </si>
  <si>
    <t>30.06.2017</t>
  </si>
  <si>
    <t>1.01.2017 -30.09.2017</t>
  </si>
  <si>
    <t>1.07.2017 -30.09.2017</t>
  </si>
  <si>
    <t>Koszty BFG**</t>
  </si>
  <si>
    <t>Banking Guarantee Fund costs**</t>
  </si>
  <si>
    <t>30.09.2017</t>
  </si>
  <si>
    <t xml:space="preserve"> - retail debt securities</t>
  </si>
  <si>
    <t xml:space="preserve"> - papiery wart. detaliczne</t>
  </si>
  <si>
    <t>1.01.2017 -31.12.2017</t>
  </si>
  <si>
    <t>1.10.2017 -31.12.2017</t>
  </si>
  <si>
    <t>31.12.2017</t>
  </si>
  <si>
    <t>1.01.2018 -31.03.2018</t>
  </si>
  <si>
    <t>Przychody z tytułu odsetek*</t>
  </si>
  <si>
    <t>Interest expenses</t>
  </si>
  <si>
    <t>Fee and commission expenses</t>
  </si>
  <si>
    <t>Result on derecognition of financial assets and liabilities not measured at fair value through profit or loss</t>
  </si>
  <si>
    <t>Wynik z tytułu zaprzestania ujmowania aktywów i zobowiązań finansowych niewycenianych według wartości godziwej przez wynik finansowy</t>
  </si>
  <si>
    <t>Results on financial assets and liabilities held for trading *</t>
  </si>
  <si>
    <t>Wynik z tytułu aktywów i zobowiązań finansowych przeznaczonych do obrotu *</t>
  </si>
  <si>
    <t>Result on hedge accounting</t>
  </si>
  <si>
    <t>Wynik z tytułu rachunkowości zabezpieczeń</t>
  </si>
  <si>
    <t>Result on exchange differences</t>
  </si>
  <si>
    <t>Pozostałe przychody operacyjne</t>
  </si>
  <si>
    <t>Pozostałe koszty operacyjne</t>
  </si>
  <si>
    <t>Administrative expenses</t>
  </si>
  <si>
    <t>Koszty administracyjne</t>
  </si>
  <si>
    <t>Depreciation</t>
  </si>
  <si>
    <t>Amortyzacja</t>
  </si>
  <si>
    <t>Result on modification</t>
  </si>
  <si>
    <t>Wynik z tytułu modyfikacji</t>
  </si>
  <si>
    <t>Result on operating activity</t>
  </si>
  <si>
    <t>Share of the profit of investments in subsidiaries</t>
  </si>
  <si>
    <t xml:space="preserve">Udział w zyskach jednostek podporządkowanych </t>
  </si>
  <si>
    <t>Result before income taxes</t>
  </si>
  <si>
    <t>Wynik finansowy przed opodatkowaniem podatkiem dochodowym</t>
  </si>
  <si>
    <t>Result after taxes</t>
  </si>
  <si>
    <t xml:space="preserve">Właścicieli jednostki dominującej </t>
  </si>
  <si>
    <t>Udziały niekontrolujące</t>
  </si>
  <si>
    <t xml:space="preserve">Średnia ważona liczba akcji zwykłych </t>
  </si>
  <si>
    <t>Profit (loss) per ordinary share (in PLN)</t>
  </si>
  <si>
    <t>31.03.2018</t>
  </si>
  <si>
    <t xml:space="preserve">Cash, cash balances at central banks </t>
  </si>
  <si>
    <t>Kasa, środki w Banku Centralnym</t>
  </si>
  <si>
    <t xml:space="preserve">Financial assets held for trading </t>
  </si>
  <si>
    <t xml:space="preserve">Aktywa finansowe przeznaczone do obrotu </t>
  </si>
  <si>
    <t>Financial assets at fair value through other comprehensive income</t>
  </si>
  <si>
    <t xml:space="preserve">Aktywa finansowe wyceniane według wartości godziwej przez inne całkowite dochody </t>
  </si>
  <si>
    <t>Instrumenty dłużne</t>
  </si>
  <si>
    <t xml:space="preserve">Deposits, loans and advances to banks and other monetary institutions </t>
  </si>
  <si>
    <t>Lokaty oraz kredyty i pożyczki udzielone bankom
i innym instytucjom monetarnym</t>
  </si>
  <si>
    <t>Kredyty i pożyczki udzielone klientom</t>
  </si>
  <si>
    <t>Repurchase agreements</t>
  </si>
  <si>
    <t>Transakcje z przyrzeczeniem odkupu</t>
  </si>
  <si>
    <t>Derivatives – Hedge accounting</t>
  </si>
  <si>
    <t>Instrumenty pochodne – rachunkowość zabezpieczeń</t>
  </si>
  <si>
    <t>Investments in subsidiaries, joint ventures and associates</t>
  </si>
  <si>
    <t>Inwestycje w jednostkach zależnych, we wspólnych przedsięwzięciach i w jednostkach stowarzyszonych</t>
  </si>
  <si>
    <t>Tangible and intangible assets</t>
  </si>
  <si>
    <t xml:space="preserve">Other assets </t>
  </si>
  <si>
    <t>Financial liabilities held for trading</t>
  </si>
  <si>
    <t>Zobowiązania finansowe przeznaczone do obrotu</t>
  </si>
  <si>
    <t>Financial liabilities measured at amortised cost</t>
  </si>
  <si>
    <t>Zobowiązania finansowe wyceniane według zamortyzowanego kosztu</t>
  </si>
  <si>
    <t>Liablities to banks and other monetary other monetary institutions</t>
  </si>
  <si>
    <t>Zobowiązania wobec banków i innych instytucji monetarnych</t>
  </si>
  <si>
    <t>Liabilities to customers</t>
  </si>
  <si>
    <t>Debt securities issued</t>
  </si>
  <si>
    <t>Wyemitowane dłużne papiery wartościowe</t>
  </si>
  <si>
    <t>Provisions</t>
  </si>
  <si>
    <t>Rezerwy</t>
  </si>
  <si>
    <t xml:space="preserve">Other liabilities </t>
  </si>
  <si>
    <t>Capital</t>
  </si>
  <si>
    <t>Accumulated other comprehensive income</t>
  </si>
  <si>
    <t>Skumulowane inne całkowite dochody</t>
  </si>
  <si>
    <t>** with resolution fund contribution (which is presented in other operating cost for earlier periods until the end of 2017)</t>
  </si>
  <si>
    <t>Przychody operacyjne</t>
  </si>
  <si>
    <t xml:space="preserve">Wynik z tytułu aktywów i zobowiązań finansowych przeznaczonych do obrotu (z odsetkami SWAP)  </t>
  </si>
  <si>
    <t xml:space="preserve">Results on financial assets and liabilities held for trading (with SWAP interest points) </t>
  </si>
  <si>
    <t>Operating income</t>
  </si>
  <si>
    <t>Operating expenses**</t>
  </si>
  <si>
    <t>Koszty operacyjne **</t>
  </si>
  <si>
    <t>1.01.2018-31.03.2018</t>
  </si>
  <si>
    <t>Inne</t>
  </si>
  <si>
    <t>01.01.2017 - 31.12.2017</t>
  </si>
  <si>
    <t>01.01.2016 - 31.12.2016</t>
  </si>
  <si>
    <t xml:space="preserve">INTEREST INCOME &amp; COST - YEAR TO DATE </t>
  </si>
  <si>
    <t>01.10.2017 - 31.12.2017</t>
  </si>
  <si>
    <t>INTEREST INCOME &amp; COST - QUARTERLY</t>
  </si>
  <si>
    <t>Balances with the Central Bank</t>
  </si>
  <si>
    <t>Deposits, loans and advances to banks</t>
  </si>
  <si>
    <t>Transactions with repurchase agreement</t>
  </si>
  <si>
    <t>1.01.2018 -30.06.2018</t>
  </si>
  <si>
    <t>1.04.2018 -30.06.2018</t>
  </si>
  <si>
    <t>30.06.2018</t>
  </si>
  <si>
    <t>Aktywa finansowe nie przeznaczone do obrotu obowiązkowo wyceniane według wartości godziwej przez rachunek zysków i strat, inne niż Kredyty i pożyczki udzielone klientom</t>
  </si>
  <si>
    <t>Aktywa finansowe wyceniane według zamortyzowanego kosztu, inne niż Kredyty i pożyczki udzielone klientom</t>
  </si>
  <si>
    <t> 1.01.2018 - 30.06.2018</t>
  </si>
  <si>
    <t> 1.01.2018 -30.06.2018</t>
  </si>
  <si>
    <t>Przychody odsetkowe od Aktywów wycenianych według wartości godziwej przez inne całkowite dochody</t>
  </si>
  <si>
    <t>Przychody odsetkowe od Aktywów wycenianych według zamortyzowanego kosztu</t>
  </si>
  <si>
    <t>Środki w Banku Centralnym</t>
  </si>
  <si>
    <t>Lokaty oraz kredyty i pożyczki udzielone bankom i innym instytucjom monetarnym</t>
  </si>
  <si>
    <t xml:space="preserve">Transakcje z przyrzeczeniem odkupu </t>
  </si>
  <si>
    <t>Przychody o charakterze podobnym do odsetkowego z tytułu:</t>
  </si>
  <si>
    <t>Kredyty i pożyczki udzielone klientom obowiązkowo wyceniane według wartości godziwej przez rachunek zysków i strat</t>
  </si>
  <si>
    <t>Aktywa finansowe przeznaczone do obrotu - Instrumenty dłużne</t>
  </si>
  <si>
    <t>Zobowiązania finansowe wyceniane według zamortyzowanego kosztu:</t>
  </si>
  <si>
    <t>Interest income from Financial assets at fair value through other comprehensive  income</t>
  </si>
  <si>
    <t>Interest income from Financial assets at amortised cost</t>
  </si>
  <si>
    <t>Transactions with repurchase agreements</t>
  </si>
  <si>
    <t>Income of similar nature to interest, including:</t>
  </si>
  <si>
    <t>Loans and advances to customers mandatorily at fair value through profit or loss</t>
  </si>
  <si>
    <t>Financial assets held for trading - debt securities</t>
  </si>
  <si>
    <t>Total:</t>
  </si>
  <si>
    <t>Interest income and other of similar nature, including:</t>
  </si>
  <si>
    <t>Liablities to banks and other monetary other    monetary institutions</t>
  </si>
  <si>
    <t>Interest expense and other of similar nature, including:</t>
  </si>
  <si>
    <t>Liablities to banks and other monetary institutions</t>
  </si>
  <si>
    <t>Non-trading financial assets mandatorily at fair value through profit or loss, other than Loans and advances to customers</t>
  </si>
  <si>
    <t>Financial assets at amortised cost, other than Loans and advances to customers</t>
  </si>
  <si>
    <t>KREDYTY DLA KLIENTÓW - wyceniane wg wartości godziwej</t>
  </si>
  <si>
    <t>Kredyty i pożyczki udzielone klientom wyceniane wg zamortyzowanego kosztu i wg wartości godziwej</t>
  </si>
  <si>
    <t>Loans and advances to customers at amortised cost and at fair value</t>
  </si>
  <si>
    <t>Result on non-trading financial assets mandatorily at fair value through profit or loss (including fair value adjustment of loans)</t>
  </si>
  <si>
    <t>Wynik z tytułu aktywów finansowych nieprzeznaczonych do obrotu wycenianych obowiązkowo według wartości godziwej przez wynik finansowy (zawierający korektę do wartości godziwej kredytów)</t>
  </si>
  <si>
    <t>-</t>
  </si>
  <si>
    <t xml:space="preserve">PROFIT &amp; LOSS ACCOUNT (PRO-FORMA) - YEAR TO DATE </t>
  </si>
  <si>
    <t>PROFIT &amp; LOSS ACCOUNT (PRO-FORMA) - QUARTERLY</t>
  </si>
  <si>
    <t xml:space="preserve">PRO-FORMA ADJUSTMENTS - YEAR TO DATE </t>
  </si>
  <si>
    <t>Result on non-trading financial assets mandatorily at fair value through profit or loss***</t>
  </si>
  <si>
    <t>Wynik z tytułu aktywów finansowych nieprzeznaczonych do obrotu wycenianych obowiązkowo według wartości godziwej przez wynik finansowy***</t>
  </si>
  <si>
    <t xml:space="preserve">Result on loan portfolio presented at fair value*** </t>
  </si>
  <si>
    <t>Wynik z tytułu kredytów wycenianych do wart. godziwej***</t>
  </si>
  <si>
    <t>*** pro-forma data: Result on loan portfolio presented at fair value is presented as a separate line (together with other "cost of risk" items) whereas in formal reporting it is presented under Result on non-trading financial assets mandatorily at fair value through profit or loss</t>
  </si>
  <si>
    <t>Operating income under IFRS</t>
  </si>
  <si>
    <t>Przychody operacyjne wg MSSF</t>
  </si>
  <si>
    <t>Odsetki od transakcji SWAP nie kwalifikujących się do rachunkowości zabezpieczeń</t>
  </si>
  <si>
    <t>Interest from SWAPs which does not meet hedge accounting standards</t>
  </si>
  <si>
    <t>LOANS FOR CUSTOMERS - at fair value</t>
  </si>
  <si>
    <t> 1.01.2018 - 30.09.2018</t>
  </si>
  <si>
    <t>1.07.2018 -30.09.2018</t>
  </si>
  <si>
    <t> 1.01.2018 -30.09.2018</t>
  </si>
  <si>
    <t>1.01.2018 -30.09.2018</t>
  </si>
  <si>
    <t>30.09.2018</t>
  </si>
  <si>
    <t>1.01.2018 -31.12.2018</t>
  </si>
  <si>
    <t>1.10.2018 -31.12.2018</t>
  </si>
  <si>
    <t>31.12.2018</t>
  </si>
  <si>
    <t> 1.01.2018 -31.12.2018</t>
  </si>
  <si>
    <t>1.01.2019 -31.03.2019</t>
  </si>
  <si>
    <t> 1.01.2019 -31.03.2019</t>
  </si>
  <si>
    <t>31.03.2019</t>
  </si>
  <si>
    <r>
      <t>Lease liabilities</t>
    </r>
    <r>
      <rPr>
        <vertAlign val="superscript"/>
        <sz val="9"/>
        <color indexed="8"/>
        <rFont val="Trebuchet MS"/>
        <family val="2"/>
        <charset val="238"/>
      </rPr>
      <t>*)</t>
    </r>
  </si>
  <si>
    <t>*) nowa pozycja wynikająca z  IFRS 16</t>
  </si>
  <si>
    <t>*) new item resulting from IFRS 16</t>
  </si>
  <si>
    <t>NET LOANS TO CUSTOMERS, TOTAL</t>
  </si>
  <si>
    <t>KREDYTY NETTO DLA KLIENTÓW, RAZEM</t>
  </si>
  <si>
    <r>
      <t>Zobowiązania z tytułu leasingu</t>
    </r>
    <r>
      <rPr>
        <vertAlign val="superscript"/>
        <sz val="9"/>
        <color indexed="8"/>
        <rFont val="Trebuchet MS"/>
        <family val="2"/>
        <charset val="238"/>
      </rPr>
      <t>*)</t>
    </r>
  </si>
  <si>
    <t>1.01.2019 -30.06.2019</t>
  </si>
  <si>
    <t>1.04.2019 -30.06.2019</t>
  </si>
  <si>
    <t> 1.01.2019 -30.06.2019</t>
  </si>
  <si>
    <t> 1.04.2019 -30.06.2019</t>
  </si>
  <si>
    <t>30.06.2019</t>
  </si>
  <si>
    <t>1.07.2019 -30.09.2019</t>
  </si>
  <si>
    <t>1.01.2019 -30.09.2019</t>
  </si>
  <si>
    <t> 1.01.2019 -30.09.2019</t>
  </si>
  <si>
    <t> 1.07.2019 -30.09.2019</t>
  </si>
  <si>
    <t>30.09.2019</t>
  </si>
  <si>
    <t>1.01.2019 -31.12.2019</t>
  </si>
  <si>
    <t>1.10.2019 -31.12.2019</t>
  </si>
  <si>
    <t>Koszty rezerw na sprawy sporne z tytułu walutowych kredytów hipotecznych</t>
  </si>
  <si>
    <t>Creation of provision for claims resulted from FX mortgage portfolio</t>
  </si>
  <si>
    <t> 1.10.2019 -31.12.2019</t>
  </si>
  <si>
    <t>31.12.2019</t>
  </si>
  <si>
    <t>(PLN'000)</t>
  </si>
  <si>
    <t>(tys. zł)</t>
  </si>
  <si>
    <t>Risk-weighted assets</t>
  </si>
  <si>
    <t>Own Funds requirements, including:</t>
  </si>
  <si>
    <t>Own Funds, including:</t>
  </si>
  <si>
    <t>Common Equity Tier 1 Capital</t>
  </si>
  <si>
    <t>Tier 2 Capital</t>
  </si>
  <si>
    <t>Total Capital Ratio (TCR)</t>
  </si>
  <si>
    <t>Minimum required level</t>
  </si>
  <si>
    <t>Surplus(+) / Deficit(-) of TCR capital adequacy (p.p.)</t>
  </si>
  <si>
    <t>Tier 1 Capital ratio (T1)</t>
  </si>
  <si>
    <t>Surplus(+) / Deficit(-) of T1 capital adequacy (p.p.)</t>
  </si>
  <si>
    <t>Common Equity Tier 1 Capital ratio (CET1)</t>
  </si>
  <si>
    <t>Surplus(+) / Deficit(-) of CET1 capital adequacy (p.p.)</t>
  </si>
  <si>
    <t>Leverage ratio</t>
  </si>
  <si>
    <t xml:space="preserve">Capital adequacy of the Group </t>
  </si>
  <si>
    <t>Aktywa ważone ryzykiem</t>
  </si>
  <si>
    <t>Wymogi w zakresie funduszy własnych, w tym:</t>
  </si>
  <si>
    <t>z tytułu ryzyka kredytowego i kredytowego kontrahenta</t>
  </si>
  <si>
    <t>z tytułu ryzyka rynkowego</t>
  </si>
  <si>
    <t>z tytułu ryzyka operacyjnego</t>
  </si>
  <si>
    <t>z tytułu korekty wartości godziwej z tytułu ryzyka kredytowego</t>
  </si>
  <si>
    <t>Fundusze własne, w tym:</t>
  </si>
  <si>
    <t>Kapitał podstawowy Tier 1</t>
  </si>
  <si>
    <t>Kapitał Tier 2</t>
  </si>
  <si>
    <t>Łączny wskaźnik kapitałowy (TCR)</t>
  </si>
  <si>
    <t>Minimalny wymagany poziom</t>
  </si>
  <si>
    <t>Nadwyżka(+) / Niedobór(-) adekwatności kapitałowej TCR (p.p.)</t>
  </si>
  <si>
    <t>Wskaźnik kapitału Tier 1 (Wskaźnik T1)</t>
  </si>
  <si>
    <t>Nadwyżka(+) / Niedobór(-) adekwatności kapitałowej T1 (p.p.)</t>
  </si>
  <si>
    <t>Wskaźnik kapitału podstawowego Tier 1 (Wskaźnik CET1)</t>
  </si>
  <si>
    <t>Nadwyżka(+) / Niedobór (-) adekwatności kapitałowej CET1 (p.p.)</t>
  </si>
  <si>
    <t>Wskaźnik dźwigni finansowej</t>
  </si>
  <si>
    <t>Credit risk and counterparty credit risk</t>
  </si>
  <si>
    <t>Market risk</t>
  </si>
  <si>
    <t>Operational risk</t>
  </si>
  <si>
    <t>Credit Valuation Adjustment CVA</t>
  </si>
  <si>
    <t>Adekwatność kapitałowa Grupy</t>
  </si>
  <si>
    <t>PRZYCHODY I KOSZTY Z TYTUŁU PROWIZJI - KWARTALNIE</t>
  </si>
  <si>
    <t>PRZYCHODY I KOSZTY Z TYTUŁU PROWIZJI - NARASTAJĄCO</t>
  </si>
  <si>
    <t>Przychody z tytułu odsetek i przychody o podobnym charakterze</t>
  </si>
  <si>
    <t>PRZYCHODY I KOSZTY ODSETKOWE - NARASTAJĄCO</t>
  </si>
  <si>
    <t>Koszty z tytułu odsetek i podobne koszty</t>
  </si>
  <si>
    <t>RACHUNEK ZYSKÓW I STRAT (PRO-FORMA) - KWARTALNIE</t>
  </si>
  <si>
    <t>RACHUNEK ZYSKÓW I STRAT (PRO-FORMA) - NARASTAJĄCO</t>
  </si>
  <si>
    <t>PRO-FORMA KOREKTY - NARASTAJĄCO</t>
  </si>
  <si>
    <t>PRZYCHODY I KOSZTY ODSETKOWE - KWARTALNIE</t>
  </si>
  <si>
    <t>* bez amortyzacji</t>
  </si>
  <si>
    <t>OGÓLNE KOSZTY ADMINISTRACYJNE* - NARASTAJĄCO</t>
  </si>
  <si>
    <t>GENERAL AND ADMINISTRATIVE EXPENSES* - QUARTERLY</t>
  </si>
  <si>
    <t>OGÓLNE KOSZTY ADMINISTRACYJNE* - KWARTALNIE</t>
  </si>
  <si>
    <t>** z uwzględnieniem składki na fundusz przymusowej restrukturyzacji (do końca 2017 prezentowanej w pozostałych kosztach operacyjnych)</t>
  </si>
  <si>
    <t>BILANS</t>
  </si>
  <si>
    <t>KREDYTY I DEPOZYTY</t>
  </si>
  <si>
    <t xml:space="preserve">LOANS AND DEPOSITS </t>
  </si>
  <si>
    <t>* dane pro-forma: odsetki od swap-ów nie spełniających wymogów rachunkowości zabezpieczeń (hedge accounting) są prezentowane w wyniku z tyt. odsetek podczas gdy w formalnym ujęciu są prezentowane w wyniku z aktywów i zobowiązań finansowych do obrotu</t>
  </si>
  <si>
    <t>** bez utratu wartości atywów finansowych i niefinansowych</t>
  </si>
  <si>
    <t>*** dane pro-forma: wynik na portfelu wycenianym wg wartości godziwej prezentowany jest w oddzielnej linii (obok pozostałych pozycji składających się na  "koszt ryzyka") podczas gdy w formalnum ujęciu jest prezentowany w  wyniku z tytułu aktywów finansowych nieprzeznaczonych do obrotu wycenianych obowiązkowo według wartości godziwej przez wynik finansowy</t>
  </si>
  <si>
    <t>* pro-forma data: interest on swaps which does not meet hedge accounting standards are presented in net interest income whereas in formal reporting it is presented under results on financial assets and liabilities held for trading</t>
  </si>
  <si>
    <t xml:space="preserve">Administrative expenses </t>
  </si>
  <si>
    <t>** without impairment losses on financial and non-financial assets</t>
  </si>
  <si>
    <t>Derivatives – hedge accounting</t>
  </si>
  <si>
    <t>KREDYTY DLA KLIENTÓW - wyceniane wg zamortyzowanego kosztu (brutto)</t>
  </si>
  <si>
    <t>KREDYTY DLA KLIENTÓW - wyceniane wg zamortyzowanego kosztu (net)</t>
  </si>
  <si>
    <t>ODPISY NA KREDYTY DLA KLIENTÓW - wyceniane wg zamortyzowanego kosztu (brutto)</t>
  </si>
  <si>
    <t>TOTAL PROVISIONS</t>
  </si>
  <si>
    <t>Odpisy razem</t>
  </si>
  <si>
    <t>(PLN '000)</t>
  </si>
  <si>
    <t>Fees &amp; Commissions Income    (PLN '000)</t>
  </si>
  <si>
    <t>Fees &amp; Commissions Cost       (PLN '000)</t>
  </si>
  <si>
    <t>Net Fees &amp; Commissions        (PLN '000)</t>
  </si>
  <si>
    <t>Fees &amp; Commissions Cost    (PLN '000)</t>
  </si>
  <si>
    <t>Net Fees &amp; Commissions     (PLN '000)</t>
  </si>
  <si>
    <t xml:space="preserve">    (PLN '000)</t>
  </si>
  <si>
    <t xml:space="preserve">   (PLN '000)</t>
  </si>
  <si>
    <t>ASSETS (PLN '000)</t>
  </si>
  <si>
    <t>LIABILITIES (PLN '000)</t>
  </si>
  <si>
    <t>LOANS TO CUSTOMERS (gross) - at amortised cost</t>
  </si>
  <si>
    <t>PROVISIONS ON CUSTOMER LOANS - at amortised cost</t>
  </si>
  <si>
    <t>LOANS TO CUSTOMERS (net) - at amortised cost</t>
  </si>
  <si>
    <t>1.01.2020 -31.03.2020</t>
  </si>
  <si>
    <t>31.03.2020</t>
  </si>
  <si>
    <t>Rezerwy z tytułu COVID-19</t>
  </si>
  <si>
    <t>Provisions for COVID19</t>
  </si>
  <si>
    <t>32 693,6</t>
  </si>
  <si>
    <t>34 268,7</t>
  </si>
  <si>
    <t>34 822,1</t>
  </si>
  <si>
    <t>47 048,1</t>
  </si>
  <si>
    <t>48 316,7</t>
  </si>
  <si>
    <t>2 615,5</t>
  </si>
  <si>
    <t>2 741,5</t>
  </si>
  <si>
    <t>2 785,8</t>
  </si>
  <si>
    <t>3 763,8</t>
  </si>
  <si>
    <t>3 865,4</t>
  </si>
  <si>
    <t>2 297,7</t>
  </si>
  <si>
    <t>2 399,0</t>
  </si>
  <si>
    <t>2 444,7</t>
  </si>
  <si>
    <t>3 324,5</t>
  </si>
  <si>
    <t>3 420,3</t>
  </si>
  <si>
    <t>7 190,6</t>
  </si>
  <si>
    <t>8 009,6</t>
  </si>
  <si>
    <t>7 978,2</t>
  </si>
  <si>
    <t>9 470,5</t>
  </si>
  <si>
    <t>9 778,8</t>
  </si>
  <si>
    <t>6 548,8</t>
  </si>
  <si>
    <t>7 309,6</t>
  </si>
  <si>
    <t>7 278,2</t>
  </si>
  <si>
    <t>7 940,5</t>
  </si>
  <si>
    <t>8 248,8</t>
  </si>
  <si>
    <t>1 530,0</t>
  </si>
  <si>
    <t>+3,08 p.p.</t>
  </si>
  <si>
    <t>+ 5,89 p.p.</t>
  </si>
  <si>
    <t>+ 4,84 p.p.</t>
  </si>
  <si>
    <t>+ 4,63 p.p.</t>
  </si>
  <si>
    <t>+ 2,53 p.p.</t>
  </si>
  <si>
    <t>+ 6,83 p.p.</t>
  </si>
  <si>
    <t>+ 0,36 p.p.</t>
  </si>
  <si>
    <t>+ 0,47 p.p.</t>
  </si>
  <si>
    <t>+ 1,72 p.p.</t>
  </si>
  <si>
    <t>+ 4,16 p.p.</t>
  </si>
  <si>
    <t>+ 5,47 p.p.</t>
  </si>
  <si>
    <t>+ 7,14 p.p.</t>
  </si>
  <si>
    <t>+ 6,15 p.p.</t>
  </si>
  <si>
    <t>+ 5,96 p.p.</t>
  </si>
  <si>
    <t>+ 4,19 p.p.</t>
  </si>
  <si>
    <t>+ 5,34 p.p.</t>
  </si>
  <si>
    <t>+ 0,68 p.p.</t>
  </si>
  <si>
    <t>+ 0,87 p.p.</t>
  </si>
  <si>
    <t>+ 1,76 p.p.</t>
  </si>
  <si>
    <t>+ 4,36 p.p.</t>
  </si>
  <si>
    <t>+ 6,50 p.p.</t>
  </si>
  <si>
    <t>+ 9,66 p.p.</t>
  </si>
  <si>
    <t>+ 8,68 p.p.</t>
  </si>
  <si>
    <t>+ 8,49 p.p.</t>
  </si>
  <si>
    <t>+ 6,88 p.p.</t>
  </si>
  <si>
    <t>+ 8,03 p.p.</t>
  </si>
  <si>
    <t>+ 3,37 p.p.</t>
  </si>
  <si>
    <t>+ 3,56 p.p.</t>
  </si>
  <si>
    <t>+ 4,18 p.p.</t>
  </si>
  <si>
    <t>+ 6,78 p.p.</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</si>
</sst>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2" formatCode="#,##0;[Red]\(#,##0\)"/>
    <numFmt numFmtId="173" formatCode="#,##0.00;[Red]\(#,##0.00\)"/>
    <numFmt numFmtId="174" formatCode="#,##0.0"/>
    <numFmt numFmtId="185" formatCode="0.000"/>
    <numFmt numFmtId="186" formatCode="0.0"/>
  </numFmts>
  <fonts count="29">
    <font>
      <sz val="11"/>
      <color theme="1"/>
      <name val="Trebuchet MS"/>
      <family val="2"/>
      <charset val="238"/>
    </font>
    <font>
      <sz val="10"/>
      <name val="Arial CE"/>
      <charset val="238"/>
    </font>
    <font>
      <sz val="13.5"/>
      <name val="MS Sans Serif"/>
      <family val="2"/>
      <charset val="238"/>
    </font>
    <font>
      <sz val="9"/>
      <color indexed="8"/>
      <name val="Trebuchet MS"/>
      <family val="2"/>
      <charset val="238"/>
    </font>
    <font>
      <b/>
      <sz val="9"/>
      <name val="Trebuchet MS"/>
      <family val="2"/>
      <charset val="238"/>
    </font>
    <font>
      <b/>
      <sz val="9"/>
      <color indexed="8"/>
      <name val="Trebuchet MS"/>
      <family val="2"/>
      <charset val="238"/>
    </font>
    <font>
      <sz val="9"/>
      <name val="Trebuchet MS"/>
      <family val="2"/>
      <charset val="238"/>
    </font>
    <font>
      <sz val="8"/>
      <name val="Arial CE"/>
      <charset val="238"/>
    </font>
    <font>
      <b/>
      <sz val="8"/>
      <name val="Arial CE"/>
      <family val="2"/>
      <charset val="238"/>
    </font>
    <font>
      <sz val="10"/>
      <name val="Arial"/>
      <family val="2"/>
    </font>
    <font>
      <sz val="10"/>
      <name val="Arial"/>
      <family val="2"/>
      <charset val="238"/>
    </font>
    <font>
      <vertAlign val="superscript"/>
      <sz val="9"/>
      <color indexed="8"/>
      <name val="Trebuchet MS"/>
      <family val="2"/>
      <charset val="238"/>
    </font>
    <font>
      <b/>
      <sz val="11"/>
      <color theme="1"/>
      <name val="Trebuchet MS"/>
      <family val="2"/>
      <charset val="238"/>
    </font>
    <font>
      <sz val="9"/>
      <color theme="1"/>
      <name val="Trebuchet MS"/>
      <family val="2"/>
      <charset val="238"/>
    </font>
    <font>
      <sz val="9"/>
      <color rgb="FFFFFFFF"/>
      <name val="Trebuchet MS"/>
      <family val="2"/>
      <charset val="238"/>
    </font>
    <font>
      <i/>
      <sz val="9"/>
      <color theme="1"/>
      <name val="Trebuchet MS"/>
      <family val="2"/>
      <charset val="238"/>
    </font>
    <font>
      <sz val="9"/>
      <color rgb="FFFF0000"/>
      <name val="Trebuchet MS"/>
      <family val="2"/>
      <charset val="238"/>
    </font>
    <font>
      <b/>
      <sz val="12"/>
      <color rgb="FFCC0066"/>
      <name val="Trebuchet MS"/>
      <family val="2"/>
      <charset val="238"/>
    </font>
    <font>
      <sz val="9"/>
      <color rgb="FF000000"/>
      <name val="Trebuchet MS"/>
      <family val="2"/>
      <charset val="238"/>
    </font>
    <font>
      <b/>
      <sz val="9"/>
      <color rgb="FF000000"/>
      <name val="Trebuchet MS"/>
      <family val="2"/>
      <charset val="238"/>
    </font>
    <font>
      <b/>
      <sz val="9"/>
      <color rgb="FFFF0000"/>
      <name val="Trebuchet MS"/>
      <family val="2"/>
      <charset val="238"/>
    </font>
    <font>
      <b/>
      <sz val="9"/>
      <color rgb="FFFFFFFF"/>
      <name val="Trebuchet MS"/>
      <family val="2"/>
      <charset val="238"/>
    </font>
    <font>
      <sz val="8"/>
      <color theme="1"/>
      <name val="Trebuchet MS"/>
      <family val="2"/>
      <charset val="238"/>
    </font>
    <font>
      <b/>
      <sz val="12"/>
      <color rgb="FFC60052"/>
      <name val="Trebuchet MS"/>
      <family val="2"/>
      <charset val="238"/>
    </font>
    <font>
      <b/>
      <sz val="9"/>
      <color theme="1"/>
      <name val="Trebuchet MS"/>
      <family val="2"/>
      <charset val="238"/>
    </font>
    <font>
      <b/>
      <sz val="9"/>
      <color rgb="FFCC0066"/>
      <name val="Trebuchet MS"/>
      <family val="2"/>
      <charset val="238"/>
    </font>
    <font>
      <b/>
      <sz val="9"/>
      <color rgb="FFC00000"/>
      <name val="Trebuchet MS"/>
      <family val="2"/>
      <charset val="238"/>
    </font>
    <font>
      <b/>
      <sz val="11"/>
      <color theme="1"/>
      <name val="Calibri"/>
      <family val="2"/>
      <charset val="238"/>
    </font>
    <font>
      <sz val="8"/>
      <name val="Trebuchet MS"/>
      <family val="2"/>
      <charset val="238"/>
    </font>
  </fonts>
  <fills count="12">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rgb="FFFFCCCC"/>
        <bgColor indexed="64"/>
      </patternFill>
    </fill>
    <fill>
      <patternFill patternType="solid">
        <fgColor rgb="FFFFFFCC"/>
        <bgColor indexed="64"/>
      </patternFill>
    </fill>
    <fill>
      <patternFill patternType="solid">
        <fgColor theme="7" tint="0.59999389629810485"/>
        <bgColor indexed="64"/>
      </patternFill>
    </fill>
    <fill>
      <patternFill patternType="solid">
        <fgColor rgb="FFCD0067"/>
        <bgColor indexed="64"/>
      </patternFill>
    </fill>
    <fill>
      <patternFill patternType="solid">
        <fgColor rgb="FFDDDDDD"/>
        <bgColor indexed="64"/>
      </patternFill>
    </fill>
    <fill>
      <patternFill patternType="solid">
        <fgColor rgb="FFD9D9D9"/>
        <bgColor indexed="64"/>
      </patternFill>
    </fill>
    <fill>
      <patternFill patternType="solid">
        <fgColor theme="0" tint="-0.249977111117893"/>
        <bgColor indexed="64"/>
      </patternFill>
    </fill>
    <fill>
      <patternFill patternType="solid">
        <fgColor theme="3" tint="0.79998168889431442"/>
        <bgColor indexed="64"/>
      </patternFill>
    </fill>
  </fills>
  <borders count="1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bottom style="medium">
        <color rgb="FFDDDDDD"/>
      </bottom>
      <diagonal/>
    </border>
    <border>
      <left/>
      <right/>
      <top/>
      <bottom style="medium">
        <color rgb="FFAB0034"/>
      </bottom>
      <diagonal/>
    </border>
    <border>
      <left/>
      <right/>
      <top style="medium">
        <color rgb="FFDDDDDD"/>
      </top>
      <bottom style="medium">
        <color rgb="FFDDDDDD"/>
      </bottom>
      <diagonal/>
    </border>
  </borders>
  <cellStyleXfs count="5">
    <xf numFmtId="0" fontId="0" fillId="0" borderId="0"/>
    <xf numFmtId="0" fontId="1" fillId="0" borderId="0">
      <alignment vertical="center"/>
    </xf>
    <xf numFmtId="0" fontId="1" fillId="0" borderId="0">
      <alignment vertical="center"/>
    </xf>
    <xf numFmtId="0" fontId="10" fillId="0" borderId="0"/>
    <xf numFmtId="0" fontId="2" fillId="0" borderId="0"/>
  </cellStyleXfs>
  <cellXfs count="234">
    <xf numFmtId="0" fontId="0" fillId="0" borderId="0" xfId="0"/>
    <xf numFmtId="0" fontId="13" fillId="0" borderId="0" xfId="0" applyFont="1"/>
    <xf numFmtId="172" fontId="5" fillId="0" borderId="1" xfId="2" applyNumberFormat="1" applyFont="1" applyFill="1" applyBorder="1" applyAlignment="1">
      <alignment horizontal="right" vertical="top" wrapText="1"/>
    </xf>
    <xf numFmtId="172" fontId="5" fillId="2" borderId="1" xfId="2" applyNumberFormat="1" applyFont="1" applyFill="1" applyBorder="1" applyAlignment="1">
      <alignment horizontal="right" vertical="top" wrapText="1"/>
    </xf>
    <xf numFmtId="0" fontId="14" fillId="0" borderId="0" xfId="0" applyFont="1"/>
    <xf numFmtId="172" fontId="3" fillId="0" borderId="2" xfId="2" applyNumberFormat="1" applyFont="1" applyFill="1" applyBorder="1" applyAlignment="1">
      <alignment horizontal="right" vertical="top" wrapText="1"/>
    </xf>
    <xf numFmtId="172" fontId="3" fillId="0" borderId="3" xfId="2" applyNumberFormat="1" applyFont="1" applyFill="1" applyBorder="1" applyAlignment="1">
      <alignment horizontal="right" vertical="top" wrapText="1"/>
    </xf>
    <xf numFmtId="172" fontId="5" fillId="0" borderId="3" xfId="2" applyNumberFormat="1" applyFont="1" applyFill="1" applyBorder="1" applyAlignment="1">
      <alignment horizontal="right" vertical="top" wrapText="1"/>
    </xf>
    <xf numFmtId="172" fontId="6" fillId="0" borderId="3" xfId="2" applyNumberFormat="1" applyFont="1" applyFill="1" applyBorder="1" applyAlignment="1">
      <alignment horizontal="right" vertical="top" wrapText="1"/>
    </xf>
    <xf numFmtId="172" fontId="3" fillId="0" borderId="4" xfId="2" applyNumberFormat="1" applyFont="1" applyFill="1" applyBorder="1" applyAlignment="1">
      <alignment horizontal="right" vertical="top" wrapText="1"/>
    </xf>
    <xf numFmtId="172" fontId="3" fillId="0" borderId="5" xfId="2" applyNumberFormat="1" applyFont="1" applyFill="1" applyBorder="1" applyAlignment="1">
      <alignment horizontal="right" vertical="top" wrapText="1"/>
    </xf>
    <xf numFmtId="172" fontId="3" fillId="2" borderId="2" xfId="2" applyNumberFormat="1" applyFont="1" applyFill="1" applyBorder="1" applyAlignment="1">
      <alignment horizontal="right" vertical="top" wrapText="1"/>
    </xf>
    <xf numFmtId="172" fontId="3" fillId="2" borderId="3" xfId="2" applyNumberFormat="1" applyFont="1" applyFill="1" applyBorder="1" applyAlignment="1">
      <alignment horizontal="right" vertical="top" wrapText="1"/>
    </xf>
    <xf numFmtId="172" fontId="5" fillId="2" borderId="3" xfId="2" applyNumberFormat="1" applyFont="1" applyFill="1" applyBorder="1" applyAlignment="1">
      <alignment horizontal="right" vertical="top" wrapText="1"/>
    </xf>
    <xf numFmtId="172" fontId="6" fillId="2" borderId="3" xfId="2" applyNumberFormat="1" applyFont="1" applyFill="1" applyBorder="1" applyAlignment="1">
      <alignment horizontal="right" vertical="top" wrapText="1"/>
    </xf>
    <xf numFmtId="172" fontId="3" fillId="2" borderId="4" xfId="2" applyNumberFormat="1" applyFont="1" applyFill="1" applyBorder="1" applyAlignment="1">
      <alignment horizontal="right" vertical="top" wrapText="1"/>
    </xf>
    <xf numFmtId="172" fontId="3" fillId="2" borderId="5" xfId="2" applyNumberFormat="1" applyFont="1" applyFill="1" applyBorder="1" applyAlignment="1">
      <alignment horizontal="right" vertical="top" wrapText="1"/>
    </xf>
    <xf numFmtId="172" fontId="6" fillId="2" borderId="4" xfId="2" applyNumberFormat="1" applyFont="1" applyFill="1" applyBorder="1" applyAlignment="1">
      <alignment horizontal="right"/>
    </xf>
    <xf numFmtId="173" fontId="4" fillId="2" borderId="1" xfId="2" applyNumberFormat="1" applyFont="1" applyFill="1" applyBorder="1" applyAlignment="1">
      <alignment horizontal="right"/>
    </xf>
    <xf numFmtId="172" fontId="6" fillId="0" borderId="0" xfId="2" applyNumberFormat="1" applyFont="1" applyFill="1" applyAlignment="1">
      <alignment horizontal="right" vertical="center"/>
    </xf>
    <xf numFmtId="172" fontId="6" fillId="2" borderId="3" xfId="2" applyNumberFormat="1" applyFont="1" applyFill="1" applyBorder="1" applyAlignment="1">
      <alignment vertical="top" wrapText="1"/>
    </xf>
    <xf numFmtId="172" fontId="4" fillId="2" borderId="1" xfId="4" applyNumberFormat="1" applyFont="1" applyFill="1" applyBorder="1" applyAlignment="1" applyProtection="1">
      <alignment horizontal="right" vertical="center" wrapText="1"/>
    </xf>
    <xf numFmtId="172" fontId="6" fillId="2" borderId="5" xfId="4" applyNumberFormat="1" applyFont="1" applyFill="1" applyBorder="1" applyAlignment="1" applyProtection="1">
      <alignment horizontal="right" vertical="center" wrapText="1"/>
      <protection locked="0"/>
    </xf>
    <xf numFmtId="172" fontId="6" fillId="2" borderId="4" xfId="4" applyNumberFormat="1" applyFont="1" applyFill="1" applyBorder="1" applyAlignment="1" applyProtection="1">
      <alignment horizontal="right" vertical="center" wrapText="1"/>
      <protection locked="0"/>
    </xf>
    <xf numFmtId="172" fontId="6" fillId="2" borderId="3" xfId="4" applyNumberFormat="1" applyFont="1" applyFill="1" applyBorder="1" applyAlignment="1" applyProtection="1">
      <alignment horizontal="right" vertical="center" wrapText="1"/>
      <protection locked="0"/>
    </xf>
    <xf numFmtId="172" fontId="4" fillId="2" borderId="1" xfId="4" applyNumberFormat="1" applyFont="1" applyFill="1" applyBorder="1" applyAlignment="1" applyProtection="1">
      <alignment horizontal="right" vertical="center" wrapText="1"/>
      <protection locked="0"/>
    </xf>
    <xf numFmtId="172" fontId="4" fillId="2" borderId="5" xfId="4" applyNumberFormat="1" applyFont="1" applyFill="1" applyBorder="1" applyAlignment="1" applyProtection="1">
      <alignment horizontal="right" vertical="center" wrapText="1"/>
      <protection locked="0"/>
    </xf>
    <xf numFmtId="172" fontId="13" fillId="0" borderId="0" xfId="0" applyNumberFormat="1" applyFont="1"/>
    <xf numFmtId="3" fontId="13" fillId="0" borderId="0" xfId="0" applyNumberFormat="1" applyFont="1"/>
    <xf numFmtId="172" fontId="4" fillId="2" borderId="3" xfId="2" applyNumberFormat="1" applyFont="1" applyFill="1" applyBorder="1" applyAlignment="1">
      <alignment vertical="top" wrapText="1"/>
    </xf>
    <xf numFmtId="0" fontId="15" fillId="0" borderId="0" xfId="0" applyFont="1"/>
    <xf numFmtId="172" fontId="4" fillId="3" borderId="1" xfId="2" applyNumberFormat="1" applyFont="1" applyFill="1" applyBorder="1" applyAlignment="1">
      <alignment horizontal="left" vertical="top" wrapText="1"/>
    </xf>
    <xf numFmtId="172" fontId="6" fillId="3" borderId="3" xfId="2" applyNumberFormat="1" applyFont="1" applyFill="1" applyBorder="1" applyAlignment="1">
      <alignment vertical="top" wrapText="1"/>
    </xf>
    <xf numFmtId="172" fontId="4" fillId="3" borderId="1" xfId="2" applyNumberFormat="1" applyFont="1" applyFill="1" applyBorder="1" applyAlignment="1">
      <alignment horizontal="center"/>
    </xf>
    <xf numFmtId="172" fontId="6" fillId="3" borderId="5" xfId="2" applyNumberFormat="1" applyFont="1" applyFill="1" applyBorder="1" applyAlignment="1">
      <alignment vertical="top" wrapText="1"/>
    </xf>
    <xf numFmtId="172" fontId="6" fillId="3" borderId="4" xfId="2" applyNumberFormat="1" applyFont="1" applyFill="1" applyBorder="1" applyAlignment="1">
      <alignment vertical="top" wrapText="1"/>
    </xf>
    <xf numFmtId="172" fontId="4" fillId="3" borderId="5" xfId="2" applyNumberFormat="1" applyFont="1" applyFill="1" applyBorder="1" applyAlignment="1">
      <alignment horizontal="left" vertical="top" wrapText="1"/>
    </xf>
    <xf numFmtId="172" fontId="4" fillId="4" borderId="1" xfId="2" applyNumberFormat="1" applyFont="1" applyFill="1" applyBorder="1" applyAlignment="1">
      <alignment horizontal="center" vertical="center" wrapText="1"/>
    </xf>
    <xf numFmtId="172" fontId="4" fillId="5" borderId="1" xfId="2" applyNumberFormat="1" applyFont="1" applyFill="1" applyBorder="1" applyAlignment="1">
      <alignment horizontal="center" vertical="center" wrapText="1"/>
    </xf>
    <xf numFmtId="172" fontId="3" fillId="5" borderId="6" xfId="2" applyNumberFormat="1" applyFont="1" applyFill="1" applyBorder="1" applyAlignment="1">
      <alignment vertical="top" wrapText="1"/>
    </xf>
    <xf numFmtId="172" fontId="5" fillId="5" borderId="7" xfId="2" applyNumberFormat="1" applyFont="1" applyFill="1" applyBorder="1" applyAlignment="1">
      <alignment vertical="top" wrapText="1"/>
    </xf>
    <xf numFmtId="172" fontId="3" fillId="4" borderId="3" xfId="2" applyNumberFormat="1" applyFont="1" applyFill="1" applyBorder="1" applyAlignment="1">
      <alignment vertical="top" wrapText="1"/>
    </xf>
    <xf numFmtId="172" fontId="3" fillId="4" borderId="5" xfId="2" applyNumberFormat="1" applyFont="1" applyFill="1" applyBorder="1" applyAlignment="1">
      <alignment vertical="top" wrapText="1"/>
    </xf>
    <xf numFmtId="172" fontId="5" fillId="4" borderId="3" xfId="2" applyNumberFormat="1" applyFont="1" applyFill="1" applyBorder="1" applyAlignment="1">
      <alignment vertical="top" wrapText="1"/>
    </xf>
    <xf numFmtId="172" fontId="3" fillId="4" borderId="4" xfId="2" applyNumberFormat="1" applyFont="1" applyFill="1" applyBorder="1" applyAlignment="1">
      <alignment vertical="top" wrapText="1"/>
    </xf>
    <xf numFmtId="172" fontId="5" fillId="4" borderId="1" xfId="2" applyNumberFormat="1" applyFont="1" applyFill="1" applyBorder="1" applyAlignment="1">
      <alignment vertical="top" wrapText="1"/>
    </xf>
    <xf numFmtId="172" fontId="3" fillId="4" borderId="3" xfId="2" applyNumberFormat="1" applyFont="1" applyFill="1" applyBorder="1" applyAlignment="1">
      <alignment horizontal="left" vertical="top" wrapText="1" indent="2"/>
    </xf>
    <xf numFmtId="172" fontId="4" fillId="4" borderId="4" xfId="2" applyNumberFormat="1" applyFont="1" applyFill="1" applyBorder="1" applyAlignment="1">
      <alignment wrapText="1"/>
    </xf>
    <xf numFmtId="172" fontId="4" fillId="4" borderId="1" xfId="2" applyNumberFormat="1" applyFont="1" applyFill="1" applyBorder="1" applyAlignment="1">
      <alignment wrapText="1"/>
    </xf>
    <xf numFmtId="172" fontId="5" fillId="5" borderId="6" xfId="2" applyNumberFormat="1" applyFont="1" applyFill="1" applyBorder="1" applyAlignment="1">
      <alignment vertical="top" wrapText="1"/>
    </xf>
    <xf numFmtId="172" fontId="3" fillId="5" borderId="8" xfId="2" applyNumberFormat="1" applyFont="1" applyFill="1" applyBorder="1" applyAlignment="1">
      <alignment vertical="top" wrapText="1"/>
    </xf>
    <xf numFmtId="172" fontId="3" fillId="5" borderId="9" xfId="2" applyNumberFormat="1" applyFont="1" applyFill="1" applyBorder="1" applyAlignment="1">
      <alignment vertical="top" wrapText="1"/>
    </xf>
    <xf numFmtId="172" fontId="3" fillId="5" borderId="6" xfId="2" applyNumberFormat="1" applyFont="1" applyFill="1" applyBorder="1" applyAlignment="1">
      <alignment horizontal="left" vertical="top" wrapText="1" indent="2"/>
    </xf>
    <xf numFmtId="0" fontId="13" fillId="0" borderId="0" xfId="0" applyFont="1" applyFill="1" applyBorder="1"/>
    <xf numFmtId="0" fontId="13" fillId="0" borderId="0" xfId="0" applyFont="1" applyFill="1" applyBorder="1" applyAlignment="1">
      <alignment horizontal="left" vertical="center" wrapText="1"/>
    </xf>
    <xf numFmtId="0" fontId="13" fillId="0" borderId="0" xfId="0" applyFont="1" applyBorder="1"/>
    <xf numFmtId="172" fontId="6" fillId="0" borderId="0" xfId="2" applyNumberFormat="1" applyFont="1" applyFill="1" applyBorder="1" applyAlignment="1">
      <alignment horizontal="right"/>
    </xf>
    <xf numFmtId="173" fontId="4" fillId="0" borderId="0" xfId="2" applyNumberFormat="1" applyFont="1" applyFill="1" applyBorder="1" applyAlignment="1">
      <alignment horizontal="right"/>
    </xf>
    <xf numFmtId="172" fontId="6" fillId="0" borderId="0" xfId="2" applyNumberFormat="1" applyFont="1" applyFill="1" applyBorder="1" applyAlignment="1"/>
    <xf numFmtId="172" fontId="4" fillId="4" borderId="1" xfId="2" applyNumberFormat="1" applyFont="1" applyFill="1" applyBorder="1" applyAlignment="1">
      <alignment horizontal="center"/>
    </xf>
    <xf numFmtId="172" fontId="16" fillId="2" borderId="3" xfId="4" applyNumberFormat="1" applyFont="1" applyFill="1" applyBorder="1" applyAlignment="1" applyProtection="1">
      <alignment horizontal="right" vertical="center" wrapText="1"/>
      <protection locked="0"/>
    </xf>
    <xf numFmtId="3" fontId="7" fillId="0" borderId="0" xfId="0" applyNumberFormat="1" applyFont="1" applyFill="1" applyBorder="1"/>
    <xf numFmtId="14" fontId="7" fillId="0" borderId="0" xfId="0" applyNumberFormat="1" applyFont="1" applyFill="1" applyBorder="1" applyAlignment="1">
      <alignment horizontal="center"/>
    </xf>
    <xf numFmtId="3" fontId="8" fillId="0" borderId="0" xfId="0" applyNumberFormat="1" applyFont="1" applyFill="1" applyBorder="1"/>
    <xf numFmtId="3" fontId="7" fillId="0" borderId="0" xfId="0" applyNumberFormat="1" applyFont="1" applyFill="1" applyBorder="1" applyAlignment="1">
      <alignment horizontal="left"/>
    </xf>
    <xf numFmtId="3" fontId="8" fillId="0" borderId="0" xfId="0" applyNumberFormat="1" applyFont="1" applyFill="1" applyBorder="1" applyAlignment="1">
      <alignment horizontal="left"/>
    </xf>
    <xf numFmtId="3" fontId="8" fillId="0" borderId="0" xfId="0" applyNumberFormat="1" applyFont="1" applyFill="1" applyBorder="1" applyAlignment="1">
      <alignment wrapText="1"/>
    </xf>
    <xf numFmtId="3" fontId="7" fillId="0" borderId="0" xfId="0" applyNumberFormat="1" applyFont="1" applyFill="1" applyBorder="1" applyAlignment="1">
      <alignment wrapText="1"/>
    </xf>
    <xf numFmtId="172" fontId="13" fillId="0" borderId="0" xfId="0" applyNumberFormat="1" applyFont="1" applyFill="1" applyBorder="1"/>
    <xf numFmtId="0" fontId="13" fillId="0" borderId="0" xfId="0" applyFont="1" applyFill="1"/>
    <xf numFmtId="172" fontId="13" fillId="0" borderId="0" xfId="0" applyNumberFormat="1" applyFont="1" applyFill="1"/>
    <xf numFmtId="172" fontId="3" fillId="2" borderId="3" xfId="2" applyNumberFormat="1" applyFont="1" applyFill="1" applyBorder="1" applyAlignment="1">
      <alignment horizontal="right" vertical="center" wrapText="1"/>
    </xf>
    <xf numFmtId="172" fontId="3" fillId="0" borderId="2" xfId="2" applyNumberFormat="1" applyFont="1" applyFill="1" applyBorder="1" applyAlignment="1">
      <alignment horizontal="right" vertical="center" wrapText="1"/>
    </xf>
    <xf numFmtId="172" fontId="3" fillId="0" borderId="3" xfId="2" applyNumberFormat="1" applyFont="1" applyFill="1" applyBorder="1" applyAlignment="1">
      <alignment horizontal="right" vertical="center" wrapText="1"/>
    </xf>
    <xf numFmtId="172" fontId="3" fillId="2" borderId="2" xfId="2" applyNumberFormat="1" applyFont="1" applyFill="1" applyBorder="1" applyAlignment="1">
      <alignment horizontal="right" vertical="center" wrapText="1"/>
    </xf>
    <xf numFmtId="172" fontId="5" fillId="0" borderId="3" xfId="2" applyNumberFormat="1" applyFont="1" applyFill="1" applyBorder="1" applyAlignment="1">
      <alignment horizontal="right" vertical="center" wrapText="1"/>
    </xf>
    <xf numFmtId="172" fontId="5" fillId="0" borderId="1" xfId="2" applyNumberFormat="1" applyFont="1" applyFill="1" applyBorder="1" applyAlignment="1">
      <alignment horizontal="right" vertical="center" wrapText="1"/>
    </xf>
    <xf numFmtId="172" fontId="5" fillId="2" borderId="3" xfId="2" applyNumberFormat="1" applyFont="1" applyFill="1" applyBorder="1" applyAlignment="1">
      <alignment horizontal="right" vertical="center" wrapText="1"/>
    </xf>
    <xf numFmtId="3" fontId="13" fillId="0" borderId="2" xfId="0" applyNumberFormat="1" applyFont="1" applyFill="1" applyBorder="1" applyAlignment="1">
      <alignment horizontal="right" vertical="center"/>
    </xf>
    <xf numFmtId="3" fontId="13" fillId="0" borderId="3" xfId="0" applyNumberFormat="1" applyFont="1" applyFill="1" applyBorder="1" applyAlignment="1">
      <alignment horizontal="right" vertical="center"/>
    </xf>
    <xf numFmtId="3" fontId="13" fillId="0" borderId="10" xfId="0" applyNumberFormat="1" applyFont="1" applyFill="1" applyBorder="1" applyAlignment="1">
      <alignment horizontal="right" vertical="center"/>
    </xf>
    <xf numFmtId="185" fontId="13" fillId="0" borderId="0" xfId="0" applyNumberFormat="1" applyFont="1"/>
    <xf numFmtId="186" fontId="13" fillId="0" borderId="0" xfId="0" applyNumberFormat="1" applyFont="1"/>
    <xf numFmtId="0" fontId="17" fillId="0" borderId="0" xfId="0" applyFont="1"/>
    <xf numFmtId="172" fontId="3" fillId="0" borderId="0" xfId="2" applyNumberFormat="1" applyFont="1" applyFill="1" applyBorder="1" applyAlignment="1">
      <alignment vertical="top"/>
    </xf>
    <xf numFmtId="172" fontId="3" fillId="0" borderId="0" xfId="2" applyNumberFormat="1" applyFont="1" applyFill="1" applyBorder="1" applyAlignment="1">
      <alignment horizontal="right" vertical="top"/>
    </xf>
    <xf numFmtId="172" fontId="5" fillId="0" borderId="0" xfId="2" applyNumberFormat="1" applyFont="1" applyFill="1" applyBorder="1" applyAlignment="1">
      <alignment vertical="top"/>
    </xf>
    <xf numFmtId="172" fontId="5" fillId="0" borderId="0" xfId="2" applyNumberFormat="1" applyFont="1" applyFill="1" applyBorder="1" applyAlignment="1">
      <alignment horizontal="right" vertical="top"/>
    </xf>
    <xf numFmtId="172" fontId="6" fillId="0" borderId="0" xfId="2" applyNumberFormat="1" applyFont="1" applyFill="1" applyBorder="1" applyAlignment="1">
      <alignment horizontal="right" vertical="top"/>
    </xf>
    <xf numFmtId="172" fontId="3" fillId="0" borderId="0" xfId="2" applyNumberFormat="1" applyFont="1" applyFill="1" applyBorder="1" applyAlignment="1">
      <alignment horizontal="left" vertical="top"/>
    </xf>
    <xf numFmtId="172" fontId="4" fillId="0" borderId="0" xfId="2" applyNumberFormat="1" applyFont="1" applyFill="1" applyBorder="1" applyAlignment="1"/>
    <xf numFmtId="0" fontId="13" fillId="0" borderId="0" xfId="0" applyFont="1" applyBorder="1" applyAlignment="1"/>
    <xf numFmtId="186" fontId="9" fillId="0" borderId="0" xfId="1" applyNumberFormat="1" applyFont="1" applyFill="1">
      <alignment vertical="center"/>
    </xf>
    <xf numFmtId="172" fontId="3" fillId="6" borderId="6" xfId="2" applyNumberFormat="1" applyFont="1" applyFill="1" applyBorder="1" applyAlignment="1">
      <alignment vertical="top" wrapText="1"/>
    </xf>
    <xf numFmtId="172" fontId="4" fillId="0" borderId="0" xfId="2" applyNumberFormat="1" applyFont="1" applyFill="1" applyBorder="1" applyAlignment="1">
      <alignment horizontal="right"/>
    </xf>
    <xf numFmtId="0" fontId="13" fillId="0" borderId="0" xfId="0" applyFont="1" applyFill="1" applyBorder="1" applyAlignment="1">
      <alignment horizontal="center"/>
    </xf>
    <xf numFmtId="172" fontId="6" fillId="0" borderId="0" xfId="3" applyNumberFormat="1" applyFont="1" applyFill="1" applyBorder="1" applyAlignment="1">
      <alignment horizontal="right" vertical="center" wrapText="1"/>
    </xf>
    <xf numFmtId="172" fontId="4" fillId="0" borderId="0" xfId="3" applyNumberFormat="1" applyFont="1" applyFill="1" applyBorder="1" applyAlignment="1">
      <alignment horizontal="right" vertical="center" wrapText="1"/>
    </xf>
    <xf numFmtId="173" fontId="6" fillId="0" borderId="0" xfId="3" applyNumberFormat="1" applyFont="1" applyFill="1" applyBorder="1" applyAlignment="1">
      <alignment horizontal="right" vertical="center" wrapText="1"/>
    </xf>
    <xf numFmtId="172" fontId="6" fillId="2" borderId="3" xfId="2" applyNumberFormat="1" applyFont="1" applyFill="1" applyBorder="1" applyAlignment="1">
      <alignment horizontal="right" vertical="center" wrapText="1"/>
    </xf>
    <xf numFmtId="0" fontId="0" fillId="0" borderId="0" xfId="0" applyBorder="1"/>
    <xf numFmtId="0" fontId="13" fillId="0" borderId="0" xfId="0" applyFont="1" applyBorder="1" applyAlignment="1">
      <alignment horizontal="justify" vertical="center"/>
    </xf>
    <xf numFmtId="0" fontId="14" fillId="7" borderId="0" xfId="0" applyFont="1" applyFill="1" applyBorder="1" applyAlignment="1">
      <alignment horizontal="center" vertical="center" wrapText="1"/>
    </xf>
    <xf numFmtId="0" fontId="17" fillId="0" borderId="0" xfId="0" applyFont="1" applyBorder="1"/>
    <xf numFmtId="172" fontId="3" fillId="0" borderId="3" xfId="2" applyNumberFormat="1" applyFont="1" applyFill="1" applyBorder="1" applyAlignment="1">
      <alignment vertical="top" wrapText="1"/>
    </xf>
    <xf numFmtId="172" fontId="3" fillId="0" borderId="5" xfId="2" applyNumberFormat="1" applyFont="1" applyFill="1" applyBorder="1" applyAlignment="1">
      <alignment vertical="top" wrapText="1"/>
    </xf>
    <xf numFmtId="172" fontId="5" fillId="0" borderId="3" xfId="2" applyNumberFormat="1" applyFont="1" applyFill="1" applyBorder="1" applyAlignment="1">
      <alignment vertical="top" wrapText="1"/>
    </xf>
    <xf numFmtId="172" fontId="3" fillId="0" borderId="4" xfId="2" applyNumberFormat="1" applyFont="1" applyFill="1" applyBorder="1" applyAlignment="1">
      <alignment vertical="top" wrapText="1"/>
    </xf>
    <xf numFmtId="172" fontId="5" fillId="0" borderId="1" xfId="2" applyNumberFormat="1" applyFont="1" applyFill="1" applyBorder="1" applyAlignment="1">
      <alignment vertical="top" wrapText="1"/>
    </xf>
    <xf numFmtId="172" fontId="3" fillId="0" borderId="6" xfId="2" applyNumberFormat="1" applyFont="1" applyFill="1" applyBorder="1" applyAlignment="1">
      <alignment vertical="top" wrapText="1"/>
    </xf>
    <xf numFmtId="172" fontId="5" fillId="0" borderId="7" xfId="2" applyNumberFormat="1" applyFont="1" applyFill="1" applyBorder="1" applyAlignment="1">
      <alignment vertical="top" wrapText="1"/>
    </xf>
    <xf numFmtId="172" fontId="3" fillId="3" borderId="6" xfId="2" applyNumberFormat="1" applyFont="1" applyFill="1" applyBorder="1" applyAlignment="1">
      <alignment vertical="top" wrapText="1"/>
    </xf>
    <xf numFmtId="0" fontId="17" fillId="0" borderId="0" xfId="0" applyFont="1" applyFill="1"/>
    <xf numFmtId="0" fontId="13" fillId="0" borderId="0" xfId="0" applyFont="1" applyFill="1" applyAlignment="1"/>
    <xf numFmtId="172" fontId="3" fillId="0" borderId="5" xfId="2" applyNumberFormat="1" applyFont="1" applyFill="1" applyBorder="1" applyAlignment="1">
      <alignment vertical="top"/>
    </xf>
    <xf numFmtId="172" fontId="3" fillId="0" borderId="3" xfId="2" applyNumberFormat="1" applyFont="1" applyFill="1" applyBorder="1" applyAlignment="1">
      <alignment vertical="top"/>
    </xf>
    <xf numFmtId="172" fontId="5" fillId="0" borderId="1" xfId="2" applyNumberFormat="1" applyFont="1" applyFill="1" applyBorder="1" applyAlignment="1">
      <alignment vertical="top"/>
    </xf>
    <xf numFmtId="0" fontId="13" fillId="0" borderId="0" xfId="0" applyFont="1" applyFill="1" applyAlignment="1">
      <alignment wrapText="1"/>
    </xf>
    <xf numFmtId="0" fontId="6" fillId="0" borderId="11" xfId="0" applyFont="1" applyFill="1" applyBorder="1" applyAlignment="1">
      <alignment horizontal="left" vertical="center" wrapText="1" indent="1"/>
    </xf>
    <xf numFmtId="172" fontId="6" fillId="0" borderId="3" xfId="2" applyNumberFormat="1" applyFont="1" applyFill="1" applyBorder="1" applyAlignment="1">
      <alignment vertical="center" wrapText="1"/>
    </xf>
    <xf numFmtId="172" fontId="6" fillId="0" borderId="3" xfId="2" applyNumberFormat="1" applyFont="1" applyFill="1" applyBorder="1" applyAlignment="1">
      <alignment horizontal="left" vertical="center" wrapText="1" indent="2"/>
    </xf>
    <xf numFmtId="172" fontId="4" fillId="0" borderId="1" xfId="2" applyNumberFormat="1" applyFont="1" applyFill="1" applyBorder="1" applyAlignment="1">
      <alignment horizontal="left" vertical="center" wrapText="1"/>
    </xf>
    <xf numFmtId="172" fontId="6" fillId="0" borderId="5" xfId="2" applyNumberFormat="1" applyFont="1" applyFill="1" applyBorder="1" applyAlignment="1">
      <alignment vertical="center" wrapText="1"/>
    </xf>
    <xf numFmtId="172" fontId="6" fillId="0" borderId="5" xfId="2" applyNumberFormat="1" applyFont="1" applyFill="1" applyBorder="1" applyAlignment="1">
      <alignment vertical="top" wrapText="1"/>
    </xf>
    <xf numFmtId="172" fontId="6" fillId="0" borderId="5" xfId="2" applyNumberFormat="1" applyFont="1" applyFill="1" applyBorder="1" applyAlignment="1">
      <alignment horizontal="left" vertical="center" wrapText="1" indent="2"/>
    </xf>
    <xf numFmtId="172" fontId="6" fillId="0" borderId="5" xfId="2" applyNumberFormat="1" applyFont="1" applyFill="1" applyBorder="1" applyAlignment="1">
      <alignment horizontal="left" vertical="top" wrapText="1" indent="2"/>
    </xf>
    <xf numFmtId="172" fontId="4" fillId="0" borderId="1" xfId="2" applyNumberFormat="1" applyFont="1" applyFill="1" applyBorder="1" applyAlignment="1">
      <alignment horizontal="left" vertical="top" wrapText="1"/>
    </xf>
    <xf numFmtId="172" fontId="4" fillId="0" borderId="5" xfId="2" applyNumberFormat="1" applyFont="1" applyFill="1" applyBorder="1" applyAlignment="1">
      <alignment horizontal="left" vertical="center" wrapText="1"/>
    </xf>
    <xf numFmtId="172" fontId="4" fillId="0" borderId="5" xfId="2" applyNumberFormat="1" applyFont="1" applyFill="1" applyBorder="1" applyAlignment="1">
      <alignment horizontal="left" vertical="top" wrapText="1"/>
    </xf>
    <xf numFmtId="172" fontId="6" fillId="0" borderId="3" xfId="2" applyNumberFormat="1" applyFont="1" applyFill="1" applyBorder="1" applyAlignment="1">
      <alignment vertical="top" wrapText="1"/>
    </xf>
    <xf numFmtId="0" fontId="18" fillId="8" borderId="12" xfId="0" applyFont="1" applyFill="1" applyBorder="1" applyAlignment="1">
      <alignment horizontal="left" vertical="center"/>
    </xf>
    <xf numFmtId="0" fontId="18" fillId="0" borderId="12" xfId="0" applyFont="1" applyBorder="1" applyAlignment="1">
      <alignment horizontal="left" vertical="center"/>
    </xf>
    <xf numFmtId="0" fontId="19" fillId="8" borderId="12" xfId="0" applyFont="1" applyFill="1" applyBorder="1" applyAlignment="1">
      <alignment horizontal="left" vertical="center"/>
    </xf>
    <xf numFmtId="0" fontId="18" fillId="8" borderId="12" xfId="0" applyFont="1" applyFill="1" applyBorder="1" applyAlignment="1">
      <alignment horizontal="left" vertical="center" wrapText="1"/>
    </xf>
    <xf numFmtId="0" fontId="18" fillId="0" borderId="12" xfId="0" applyFont="1" applyBorder="1" applyAlignment="1">
      <alignment horizontal="left" vertical="center" wrapText="1" indent="1"/>
    </xf>
    <xf numFmtId="0" fontId="19" fillId="8" borderId="12" xfId="0" applyFont="1" applyFill="1" applyBorder="1" applyAlignment="1">
      <alignment horizontal="justify" vertical="center" wrapText="1"/>
    </xf>
    <xf numFmtId="0" fontId="18" fillId="0" borderId="12" xfId="0" applyFont="1" applyBorder="1" applyAlignment="1">
      <alignment horizontal="left" vertical="center" wrapText="1"/>
    </xf>
    <xf numFmtId="0" fontId="18" fillId="9" borderId="12" xfId="0" applyFont="1" applyFill="1" applyBorder="1" applyAlignment="1">
      <alignment horizontal="justify" vertical="center" wrapText="1"/>
    </xf>
    <xf numFmtId="0" fontId="18" fillId="0" borderId="12" xfId="0" applyFont="1" applyBorder="1" applyAlignment="1">
      <alignment horizontal="justify" vertical="center" wrapText="1"/>
    </xf>
    <xf numFmtId="0" fontId="18" fillId="0" borderId="12" xfId="0" applyFont="1" applyBorder="1" applyAlignment="1">
      <alignment horizontal="left" vertical="center" indent="1"/>
    </xf>
    <xf numFmtId="172" fontId="4" fillId="2" borderId="0" xfId="2" applyNumberFormat="1" applyFont="1" applyFill="1" applyBorder="1" applyAlignment="1">
      <alignment vertical="top" wrapText="1"/>
    </xf>
    <xf numFmtId="172" fontId="13" fillId="0" borderId="0" xfId="0" applyNumberFormat="1" applyFont="1" applyBorder="1"/>
    <xf numFmtId="172" fontId="16" fillId="8" borderId="12" xfId="0" applyNumberFormat="1" applyFont="1" applyFill="1" applyBorder="1" applyAlignment="1">
      <alignment horizontal="right" vertical="center"/>
    </xf>
    <xf numFmtId="172" fontId="0" fillId="0" borderId="0" xfId="0" applyNumberFormat="1" applyBorder="1"/>
    <xf numFmtId="172" fontId="18" fillId="9" borderId="12" xfId="0" applyNumberFormat="1" applyFont="1" applyFill="1" applyBorder="1" applyAlignment="1">
      <alignment horizontal="justify" vertical="center" wrapText="1"/>
    </xf>
    <xf numFmtId="172" fontId="0" fillId="0" borderId="0" xfId="0" applyNumberFormat="1"/>
    <xf numFmtId="172" fontId="16" fillId="0" borderId="12" xfId="0" applyNumberFormat="1" applyFont="1" applyBorder="1" applyAlignment="1">
      <alignment horizontal="right" vertical="center"/>
    </xf>
    <xf numFmtId="172" fontId="18" fillId="0" borderId="12" xfId="0" applyNumberFormat="1" applyFont="1" applyBorder="1" applyAlignment="1">
      <alignment horizontal="left" vertical="center" wrapText="1" indent="1"/>
    </xf>
    <xf numFmtId="172" fontId="13" fillId="0" borderId="12" xfId="0" applyNumberFormat="1" applyFont="1" applyBorder="1" applyAlignment="1">
      <alignment horizontal="right" vertical="center"/>
    </xf>
    <xf numFmtId="172" fontId="18" fillId="0" borderId="12" xfId="0" applyNumberFormat="1" applyFont="1" applyBorder="1" applyAlignment="1">
      <alignment horizontal="justify" vertical="center" wrapText="1"/>
    </xf>
    <xf numFmtId="172" fontId="20" fillId="8" borderId="12" xfId="0" applyNumberFormat="1" applyFont="1" applyFill="1" applyBorder="1" applyAlignment="1">
      <alignment horizontal="right" vertical="center"/>
    </xf>
    <xf numFmtId="172" fontId="18" fillId="8" borderId="12" xfId="0" applyNumberFormat="1" applyFont="1" applyFill="1" applyBorder="1" applyAlignment="1">
      <alignment horizontal="right" vertical="center"/>
    </xf>
    <xf numFmtId="172" fontId="18" fillId="8" borderId="12" xfId="0" applyNumberFormat="1" applyFont="1" applyFill="1" applyBorder="1" applyAlignment="1">
      <alignment horizontal="left" vertical="center" wrapText="1"/>
    </xf>
    <xf numFmtId="172" fontId="18" fillId="0" borderId="12" xfId="0" applyNumberFormat="1" applyFont="1" applyBorder="1" applyAlignment="1">
      <alignment horizontal="right" vertical="center"/>
    </xf>
    <xf numFmtId="172" fontId="19" fillId="8" borderId="12" xfId="0" applyNumberFormat="1" applyFont="1" applyFill="1" applyBorder="1" applyAlignment="1">
      <alignment horizontal="right" vertical="center"/>
    </xf>
    <xf numFmtId="172" fontId="19" fillId="8" borderId="12" xfId="0" applyNumberFormat="1" applyFont="1" applyFill="1" applyBorder="1" applyAlignment="1">
      <alignment horizontal="justify" vertical="center" wrapText="1"/>
    </xf>
    <xf numFmtId="172" fontId="6" fillId="0" borderId="12" xfId="0" applyNumberFormat="1" applyFont="1" applyBorder="1" applyAlignment="1">
      <alignment horizontal="right" vertical="center"/>
    </xf>
    <xf numFmtId="3" fontId="13" fillId="0" borderId="0" xfId="0" applyNumberFormat="1" applyFont="1" applyFill="1"/>
    <xf numFmtId="3" fontId="13" fillId="0" borderId="0" xfId="0" applyNumberFormat="1" applyFont="1" applyFill="1" applyBorder="1"/>
    <xf numFmtId="172" fontId="3" fillId="0" borderId="0" xfId="2" applyNumberFormat="1" applyFont="1" applyFill="1" applyBorder="1" applyAlignment="1">
      <alignment horizontal="right" vertical="top" wrapText="1"/>
    </xf>
    <xf numFmtId="172" fontId="3" fillId="2" borderId="3" xfId="2" quotePrefix="1" applyNumberFormat="1" applyFont="1" applyFill="1" applyBorder="1" applyAlignment="1">
      <alignment horizontal="right" vertical="top" wrapText="1"/>
    </xf>
    <xf numFmtId="172" fontId="5" fillId="3" borderId="6" xfId="2" applyNumberFormat="1" applyFont="1" applyFill="1" applyBorder="1" applyAlignment="1">
      <alignment vertical="top" wrapText="1"/>
    </xf>
    <xf numFmtId="3" fontId="13" fillId="0" borderId="0" xfId="0" applyNumberFormat="1" applyFont="1" applyBorder="1"/>
    <xf numFmtId="172" fontId="3" fillId="0" borderId="3" xfId="2" applyNumberFormat="1" applyFont="1" applyFill="1" applyBorder="1" applyAlignment="1">
      <alignment horizontal="left" vertical="top" wrapText="1"/>
    </xf>
    <xf numFmtId="172" fontId="4" fillId="0" borderId="4" xfId="2" applyNumberFormat="1" applyFont="1" applyFill="1" applyBorder="1" applyAlignment="1">
      <alignment vertical="top" wrapText="1"/>
    </xf>
    <xf numFmtId="172" fontId="6" fillId="0" borderId="4" xfId="2" applyNumberFormat="1" applyFont="1" applyFill="1" applyBorder="1" applyAlignment="1">
      <alignment horizontal="right" vertical="top"/>
    </xf>
    <xf numFmtId="172" fontId="4" fillId="0" borderId="1" xfId="2" applyNumberFormat="1" applyFont="1" applyFill="1" applyBorder="1" applyAlignment="1">
      <alignment vertical="top" wrapText="1"/>
    </xf>
    <xf numFmtId="173" fontId="4" fillId="0" borderId="1" xfId="2" applyNumberFormat="1" applyFont="1" applyFill="1" applyBorder="1" applyAlignment="1">
      <alignment horizontal="right" vertical="top"/>
    </xf>
    <xf numFmtId="172" fontId="18" fillId="0" borderId="12" xfId="0" applyNumberFormat="1" applyFont="1" applyFill="1" applyBorder="1" applyAlignment="1">
      <alignment horizontal="left" vertical="center" wrapText="1" indent="1"/>
    </xf>
    <xf numFmtId="172" fontId="18" fillId="0" borderId="12" xfId="0" applyNumberFormat="1" applyFont="1" applyFill="1" applyBorder="1" applyAlignment="1">
      <alignment horizontal="right" vertical="center"/>
    </xf>
    <xf numFmtId="0" fontId="18" fillId="0" borderId="12" xfId="0" applyFont="1" applyFill="1" applyBorder="1" applyAlignment="1">
      <alignment horizontal="left" vertical="center" wrapText="1" indent="1"/>
    </xf>
    <xf numFmtId="0" fontId="18" fillId="0" borderId="12" xfId="0" applyFont="1" applyFill="1" applyBorder="1" applyAlignment="1">
      <alignment horizontal="left" vertical="center" wrapText="1"/>
    </xf>
    <xf numFmtId="0" fontId="18" fillId="0" borderId="12" xfId="0" applyFont="1" applyFill="1" applyBorder="1" applyAlignment="1">
      <alignment horizontal="left" vertical="center" indent="1"/>
    </xf>
    <xf numFmtId="172" fontId="16" fillId="0" borderId="12" xfId="0" applyNumberFormat="1" applyFont="1" applyFill="1" applyBorder="1" applyAlignment="1">
      <alignment horizontal="right" vertical="center"/>
    </xf>
    <xf numFmtId="172" fontId="16" fillId="0" borderId="12" xfId="0" applyNumberFormat="1" applyFont="1" applyFill="1" applyBorder="1" applyAlignment="1">
      <alignment horizontal="center" vertical="center"/>
    </xf>
    <xf numFmtId="172" fontId="0" fillId="0" borderId="0" xfId="0" applyNumberFormat="1" applyFill="1" applyBorder="1"/>
    <xf numFmtId="172" fontId="0" fillId="0" borderId="0" xfId="0" applyNumberFormat="1" applyFill="1"/>
    <xf numFmtId="0" fontId="0" fillId="0" borderId="0" xfId="0" applyFill="1"/>
    <xf numFmtId="0" fontId="18" fillId="0" borderId="0" xfId="0" applyFont="1" applyFill="1" applyBorder="1" applyAlignment="1">
      <alignment horizontal="left" vertical="center" wrapText="1" indent="1"/>
    </xf>
    <xf numFmtId="172" fontId="5" fillId="10" borderId="3" xfId="2" applyNumberFormat="1" applyFont="1" applyFill="1" applyBorder="1" applyAlignment="1">
      <alignment vertical="top" wrapText="1"/>
    </xf>
    <xf numFmtId="172" fontId="3" fillId="10" borderId="3" xfId="2" applyNumberFormat="1" applyFont="1" applyFill="1" applyBorder="1" applyAlignment="1">
      <alignment vertical="top" wrapText="1"/>
    </xf>
    <xf numFmtId="172" fontId="4" fillId="10" borderId="1" xfId="2" applyNumberFormat="1" applyFont="1" applyFill="1" applyBorder="1" applyAlignment="1">
      <alignment horizontal="left" vertical="top" wrapText="1"/>
    </xf>
    <xf numFmtId="172" fontId="6" fillId="10" borderId="1" xfId="2" applyNumberFormat="1" applyFont="1" applyFill="1" applyBorder="1" applyAlignment="1">
      <alignment vertical="top" wrapText="1"/>
    </xf>
    <xf numFmtId="172" fontId="6" fillId="10" borderId="1" xfId="2" applyNumberFormat="1" applyFont="1" applyFill="1" applyBorder="1" applyAlignment="1">
      <alignment horizontal="left" vertical="top" wrapText="1"/>
    </xf>
    <xf numFmtId="172" fontId="6" fillId="10" borderId="3" xfId="2" applyNumberFormat="1" applyFont="1" applyFill="1" applyBorder="1" applyAlignment="1">
      <alignment vertical="top" wrapText="1"/>
    </xf>
    <xf numFmtId="172" fontId="4" fillId="10" borderId="3" xfId="2" applyNumberFormat="1" applyFont="1" applyFill="1" applyBorder="1" applyAlignment="1">
      <alignment vertical="top" wrapText="1"/>
    </xf>
    <xf numFmtId="0" fontId="14" fillId="7" borderId="0" xfId="0" applyFont="1" applyFill="1" applyBorder="1" applyAlignment="1">
      <alignment horizontal="right" vertical="center" wrapText="1"/>
    </xf>
    <xf numFmtId="0" fontId="21" fillId="7" borderId="0" xfId="0" applyFont="1" applyFill="1" applyBorder="1" applyAlignment="1">
      <alignment horizontal="left" vertical="center" wrapText="1"/>
    </xf>
    <xf numFmtId="0" fontId="22" fillId="0" borderId="0" xfId="0" applyFont="1"/>
    <xf numFmtId="0" fontId="23" fillId="0" borderId="0" xfId="0" applyFont="1"/>
    <xf numFmtId="172" fontId="5" fillId="0" borderId="6" xfId="2" applyNumberFormat="1" applyFont="1" applyFill="1" applyBorder="1" applyAlignment="1">
      <alignment vertical="top" wrapText="1"/>
    </xf>
    <xf numFmtId="172" fontId="3" fillId="0" borderId="8" xfId="2" applyNumberFormat="1" applyFont="1" applyFill="1" applyBorder="1" applyAlignment="1">
      <alignment vertical="top" wrapText="1"/>
    </xf>
    <xf numFmtId="172" fontId="3" fillId="0" borderId="9" xfId="2" applyNumberFormat="1" applyFont="1" applyFill="1" applyBorder="1" applyAlignment="1">
      <alignment vertical="top" wrapText="1"/>
    </xf>
    <xf numFmtId="172" fontId="3" fillId="0" borderId="6" xfId="2" applyNumberFormat="1" applyFont="1" applyFill="1" applyBorder="1" applyAlignment="1">
      <alignment horizontal="left" vertical="top" wrapText="1" indent="2"/>
    </xf>
    <xf numFmtId="172" fontId="19" fillId="0" borderId="0" xfId="0" applyNumberFormat="1" applyFont="1" applyFill="1" applyBorder="1" applyAlignment="1">
      <alignment horizontal="justify" vertical="center" wrapText="1"/>
    </xf>
    <xf numFmtId="172" fontId="20" fillId="0" borderId="0" xfId="0" applyNumberFormat="1" applyFont="1" applyFill="1" applyBorder="1" applyAlignment="1">
      <alignment horizontal="right" vertical="center"/>
    </xf>
    <xf numFmtId="0" fontId="25" fillId="0" borderId="0" xfId="0" applyFont="1"/>
    <xf numFmtId="0" fontId="13" fillId="0" borderId="13" xfId="0" applyFont="1" applyBorder="1" applyAlignment="1">
      <alignment horizontal="left" vertical="center" wrapText="1"/>
    </xf>
    <xf numFmtId="174" fontId="13" fillId="0" borderId="13" xfId="0" applyNumberFormat="1" applyFont="1" applyBorder="1" applyAlignment="1">
      <alignment horizontal="right" vertical="center" wrapText="1"/>
    </xf>
    <xf numFmtId="0" fontId="3" fillId="0" borderId="13" xfId="0" applyFont="1" applyBorder="1" applyAlignment="1">
      <alignment horizontal="left" vertical="center" wrapText="1" indent="4"/>
    </xf>
    <xf numFmtId="0" fontId="13" fillId="0" borderId="13" xfId="0" applyFont="1" applyBorder="1" applyAlignment="1">
      <alignment horizontal="left" vertical="center" wrapText="1" indent="4"/>
    </xf>
    <xf numFmtId="174" fontId="18" fillId="0" borderId="13" xfId="0" applyNumberFormat="1" applyFont="1" applyBorder="1" applyAlignment="1">
      <alignment horizontal="right" vertical="center" wrapText="1"/>
    </xf>
    <xf numFmtId="0" fontId="18" fillId="0" borderId="13" xfId="0" applyFont="1" applyBorder="1" applyAlignment="1">
      <alignment horizontal="left" vertical="center" wrapText="1"/>
    </xf>
    <xf numFmtId="0" fontId="24" fillId="9" borderId="13" xfId="0" applyFont="1" applyFill="1" applyBorder="1" applyAlignment="1">
      <alignment horizontal="left" vertical="center" wrapText="1"/>
    </xf>
    <xf numFmtId="0" fontId="26" fillId="9" borderId="13" xfId="0" applyFont="1" applyFill="1" applyBorder="1" applyAlignment="1">
      <alignment horizontal="left" vertical="center" wrapText="1"/>
    </xf>
    <xf numFmtId="0" fontId="21" fillId="7" borderId="0" xfId="0" applyFont="1" applyFill="1" applyBorder="1" applyAlignment="1">
      <alignment horizontal="center" vertical="center" wrapText="1"/>
    </xf>
    <xf numFmtId="0" fontId="21" fillId="7" borderId="0" xfId="0" applyFont="1" applyFill="1" applyBorder="1" applyAlignment="1">
      <alignment horizontal="right" vertical="center" wrapText="1"/>
    </xf>
    <xf numFmtId="0" fontId="24" fillId="0" borderId="0" xfId="0" applyFont="1"/>
    <xf numFmtId="0" fontId="24" fillId="0" borderId="0" xfId="0" applyFont="1" applyBorder="1"/>
    <xf numFmtId="0" fontId="21" fillId="7" borderId="0" xfId="0" applyFont="1" applyFill="1" applyBorder="1" applyAlignment="1">
      <alignment vertical="center" wrapText="1"/>
    </xf>
    <xf numFmtId="0" fontId="12" fillId="0" borderId="0" xfId="0" applyFont="1" applyBorder="1"/>
    <xf numFmtId="0" fontId="12" fillId="0" borderId="0" xfId="0" applyFont="1"/>
    <xf numFmtId="172" fontId="12" fillId="0" borderId="0" xfId="0" applyNumberFormat="1" applyFont="1"/>
    <xf numFmtId="0" fontId="21" fillId="7" borderId="14" xfId="0" applyFont="1" applyFill="1" applyBorder="1" applyAlignment="1">
      <alignment horizontal="left" vertical="center" wrapText="1"/>
    </xf>
    <xf numFmtId="0" fontId="27" fillId="7" borderId="14" xfId="0" applyFont="1" applyFill="1" applyBorder="1" applyAlignment="1">
      <alignment vertical="center" wrapText="1"/>
    </xf>
    <xf numFmtId="172" fontId="24" fillId="0" borderId="0" xfId="0" applyNumberFormat="1" applyFont="1"/>
    <xf numFmtId="0" fontId="24" fillId="0" borderId="0" xfId="0" applyFont="1" applyFill="1"/>
    <xf numFmtId="3" fontId="24" fillId="0" borderId="0" xfId="0" applyNumberFormat="1" applyFont="1" applyFill="1"/>
    <xf numFmtId="3" fontId="24" fillId="0" borderId="0" xfId="0" applyNumberFormat="1" applyFont="1" applyBorder="1"/>
    <xf numFmtId="3" fontId="13" fillId="0" borderId="0" xfId="0" applyNumberFormat="1" applyFont="1" applyBorder="1" applyAlignment="1"/>
    <xf numFmtId="3" fontId="0" fillId="0" borderId="0" xfId="0" applyNumberFormat="1" applyBorder="1"/>
    <xf numFmtId="3" fontId="0" fillId="0" borderId="0" xfId="0" applyNumberFormat="1" applyFill="1"/>
    <xf numFmtId="3" fontId="0" fillId="0" borderId="0" xfId="0" applyNumberFormat="1" applyFill="1" applyBorder="1"/>
    <xf numFmtId="0" fontId="13" fillId="11" borderId="0" xfId="0" applyFont="1" applyFill="1"/>
    <xf numFmtId="3" fontId="24" fillId="0" borderId="0" xfId="0" applyNumberFormat="1" applyFont="1"/>
    <xf numFmtId="172" fontId="4" fillId="0" borderId="3" xfId="2" applyNumberFormat="1" applyFont="1" applyFill="1" applyBorder="1" applyAlignment="1">
      <alignment vertical="top" wrapText="1"/>
    </xf>
    <xf numFmtId="10" fontId="24" fillId="9" borderId="13" xfId="0" applyNumberFormat="1" applyFont="1" applyFill="1" applyBorder="1" applyAlignment="1">
      <alignment horizontal="right" vertical="center" wrapText="1"/>
    </xf>
    <xf numFmtId="10" fontId="18" fillId="0" borderId="13" xfId="0" applyNumberFormat="1" applyFont="1" applyBorder="1" applyAlignment="1">
      <alignment horizontal="right" vertical="center" wrapText="1"/>
    </xf>
    <xf numFmtId="10" fontId="13" fillId="0" borderId="13" xfId="0" applyNumberFormat="1" applyFont="1" applyBorder="1" applyAlignment="1">
      <alignment horizontal="right" vertical="center" wrapText="1"/>
    </xf>
    <xf numFmtId="0" fontId="18" fillId="0" borderId="13" xfId="0" quotePrefix="1" applyFont="1" applyBorder="1" applyAlignment="1">
      <alignment horizontal="right" vertical="center" wrapText="1"/>
    </xf>
    <xf numFmtId="0" fontId="13" fillId="0" borderId="13" xfId="0" quotePrefix="1" applyFont="1" applyBorder="1" applyAlignment="1">
      <alignment horizontal="right" vertical="center" wrapText="1"/>
    </xf>
    <xf numFmtId="10" fontId="26" fillId="9" borderId="13" xfId="0" applyNumberFormat="1" applyFont="1" applyFill="1" applyBorder="1" applyAlignment="1">
      <alignment horizontal="right" vertical="center" wrapText="1"/>
    </xf>
    <xf numFmtId="10" fontId="22" fillId="0" borderId="0" xfId="0" applyNumberFormat="1" applyFont="1"/>
    <xf numFmtId="3" fontId="28" fillId="0" borderId="0" xfId="0" applyNumberFormat="1" applyFont="1"/>
  </cellXfs>
  <cellStyles count="5">
    <cellStyle name="˙˙˙" xfId="1"/>
    <cellStyle name="gs]_x000d__x000a_Window=0,0,640,480, , ,3_x000d__x000a_dir1=5,7,637,250,-1,-1,1,30,201,1905,231,G:\UGRC\RB\B-DADOS\FOX-PRO\CRED-VEN\KP" xfId="2"/>
    <cellStyle name="Normalny" xfId="0" builtinId="0"/>
    <cellStyle name="Normalny 2" xfId="3"/>
    <cellStyle name="Normalny_SFB_26_09"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B89"/>
  <sheetViews>
    <sheetView tabSelected="1" zoomScale="90" zoomScaleNormal="90" workbookViewId="0">
      <pane xSplit="2" ySplit="3" topLeftCell="K4" activePane="bottomRight" state="frozenSplit"/>
      <selection pane="topRight" activeCell="B1" sqref="B1"/>
      <selection pane="bottomLeft" activeCell="A4" sqref="A4"/>
      <selection pane="bottomRight"/>
    </sheetView>
  </sheetViews>
  <sheetFormatPr defaultColWidth="8.75" defaultRowHeight="12" outlineLevelCol="1"/>
  <cols>
    <col min="1" max="1" width="43.25" style="1" customWidth="1"/>
    <col min="2" max="2" width="40.4140625" style="1" customWidth="1"/>
    <col min="3" max="6" width="11.9140625" style="1" hidden="1" customWidth="1" outlineLevel="1"/>
    <col min="7" max="7" width="11.9140625" style="1" customWidth="1" collapsed="1"/>
    <col min="8" max="12" width="11.9140625" style="1" customWidth="1"/>
    <col min="13" max="13" width="13.58203125" style="1" customWidth="1"/>
    <col min="14" max="14" width="12.25" style="1" customWidth="1"/>
    <col min="15" max="15" width="13.33203125" style="1" customWidth="1"/>
    <col min="16" max="16" width="5.08203125" style="1" customWidth="1"/>
    <col min="17" max="17" width="15.4140625" style="1" customWidth="1"/>
    <col min="18" max="18" width="13.08203125" style="55" customWidth="1"/>
    <col min="19" max="22" width="12.25" style="55" customWidth="1" outlineLevel="1"/>
    <col min="23" max="27" width="12.25" style="55" customWidth="1"/>
    <col min="28" max="30" width="11.9140625" style="1" customWidth="1"/>
    <col min="31" max="16384" width="8.75" style="1"/>
  </cols>
  <sheetData>
    <row r="1" spans="1:28" ht="15.5">
      <c r="A1" s="83" t="s">
        <v>401</v>
      </c>
      <c r="C1" s="53"/>
      <c r="D1" s="96"/>
      <c r="E1" s="96"/>
      <c r="F1" s="96"/>
      <c r="G1" s="162"/>
      <c r="H1" s="162"/>
      <c r="I1" s="162"/>
      <c r="J1" s="162"/>
      <c r="K1" s="162"/>
      <c r="L1" s="162"/>
      <c r="M1" s="162"/>
      <c r="N1" s="162"/>
      <c r="O1" s="162"/>
      <c r="R1" s="162"/>
    </row>
    <row r="2" spans="1:28" ht="15.5">
      <c r="A2" s="83" t="s">
        <v>490</v>
      </c>
      <c r="C2" s="55"/>
      <c r="D2" s="55"/>
      <c r="E2" s="55"/>
      <c r="F2" s="55"/>
      <c r="G2" s="55"/>
      <c r="H2" s="55"/>
      <c r="I2" s="55"/>
      <c r="J2" s="55"/>
      <c r="K2" s="141"/>
      <c r="L2" s="141"/>
      <c r="M2" s="141"/>
      <c r="N2" s="141"/>
      <c r="O2" s="141"/>
      <c r="P2" s="96"/>
      <c r="R2" s="1"/>
      <c r="AB2" s="55"/>
    </row>
    <row r="3" spans="1:28" s="207" customFormat="1" ht="24.5" thickBot="1">
      <c r="A3" s="187" t="s">
        <v>514</v>
      </c>
      <c r="B3" s="187" t="s">
        <v>172</v>
      </c>
      <c r="C3" s="205" t="s">
        <v>262</v>
      </c>
      <c r="D3" s="205" t="s">
        <v>273</v>
      </c>
      <c r="E3" s="205" t="s">
        <v>276</v>
      </c>
      <c r="F3" s="205" t="s">
        <v>283</v>
      </c>
      <c r="G3" s="205" t="s">
        <v>285</v>
      </c>
      <c r="H3" s="205" t="s">
        <v>366</v>
      </c>
      <c r="I3" s="205" t="s">
        <v>414</v>
      </c>
      <c r="J3" s="205" t="s">
        <v>419</v>
      </c>
      <c r="K3" s="205" t="s">
        <v>422</v>
      </c>
      <c r="L3" s="205" t="s">
        <v>432</v>
      </c>
      <c r="M3" s="205" t="s">
        <v>436</v>
      </c>
      <c r="N3" s="205" t="s">
        <v>442</v>
      </c>
      <c r="O3" s="205" t="s">
        <v>527</v>
      </c>
      <c r="P3" s="97"/>
      <c r="S3" s="208"/>
      <c r="T3" s="208"/>
      <c r="U3" s="208"/>
      <c r="V3" s="208"/>
      <c r="W3" s="208"/>
      <c r="X3" s="208"/>
      <c r="Y3" s="208"/>
      <c r="Z3" s="208"/>
      <c r="AA3" s="208"/>
      <c r="AB3" s="208"/>
    </row>
    <row r="4" spans="1:28">
      <c r="A4" s="109" t="s">
        <v>25</v>
      </c>
      <c r="B4" s="105" t="s">
        <v>286</v>
      </c>
      <c r="C4" s="5">
        <v>594025</v>
      </c>
      <c r="D4" s="5">
        <f t="shared" ref="D4:F5" si="0">+D42-C42</f>
        <v>602557</v>
      </c>
      <c r="E4" s="5">
        <f t="shared" si="0"/>
        <v>621594</v>
      </c>
      <c r="F4" s="5">
        <f t="shared" si="0"/>
        <v>621154</v>
      </c>
      <c r="G4" s="5">
        <v>617997</v>
      </c>
      <c r="H4" s="5">
        <f t="shared" ref="H4:J5" si="1">+H42-G42</f>
        <v>640161</v>
      </c>
      <c r="I4" s="5">
        <f t="shared" si="1"/>
        <v>665522</v>
      </c>
      <c r="J4" s="5">
        <f t="shared" si="1"/>
        <v>698658</v>
      </c>
      <c r="K4" s="5">
        <f>+K42</f>
        <v>710898</v>
      </c>
      <c r="L4" s="5">
        <f t="shared" ref="L4:N5" si="2">+L42-K42</f>
        <v>804734.37461358006</v>
      </c>
      <c r="M4" s="5">
        <f t="shared" si="2"/>
        <v>957779.62538641994</v>
      </c>
      <c r="N4" s="5">
        <f>+N42-M42</f>
        <v>963892</v>
      </c>
      <c r="O4" s="5">
        <f>+O42</f>
        <v>941600</v>
      </c>
      <c r="P4" s="96"/>
      <c r="R4" s="1"/>
      <c r="AB4" s="55"/>
    </row>
    <row r="5" spans="1:28">
      <c r="A5" s="109" t="s">
        <v>287</v>
      </c>
      <c r="B5" s="104" t="s">
        <v>97</v>
      </c>
      <c r="C5" s="6">
        <v>-182862</v>
      </c>
      <c r="D5" s="6">
        <f t="shared" si="0"/>
        <v>-172653</v>
      </c>
      <c r="E5" s="6">
        <f t="shared" si="0"/>
        <v>-174971</v>
      </c>
      <c r="F5" s="6">
        <f t="shared" si="0"/>
        <v>-171984</v>
      </c>
      <c r="G5" s="6">
        <v>-181304</v>
      </c>
      <c r="H5" s="6">
        <f t="shared" si="1"/>
        <v>-183908</v>
      </c>
      <c r="I5" s="6">
        <f t="shared" si="1"/>
        <v>-184406</v>
      </c>
      <c r="J5" s="6">
        <f t="shared" si="1"/>
        <v>-194826</v>
      </c>
      <c r="K5" s="6">
        <f>+K43</f>
        <v>-210567</v>
      </c>
      <c r="L5" s="6">
        <f t="shared" si="2"/>
        <v>-220403</v>
      </c>
      <c r="M5" s="6">
        <f t="shared" si="2"/>
        <v>-252590</v>
      </c>
      <c r="N5" s="6">
        <f t="shared" si="2"/>
        <v>-254357</v>
      </c>
      <c r="O5" s="6">
        <f>+O43</f>
        <v>-251964</v>
      </c>
      <c r="P5" s="96"/>
      <c r="R5" s="1"/>
      <c r="AB5" s="55"/>
    </row>
    <row r="6" spans="1:28">
      <c r="A6" s="190" t="s">
        <v>26</v>
      </c>
      <c r="B6" s="106" t="s">
        <v>98</v>
      </c>
      <c r="C6" s="7">
        <f t="shared" ref="C6:J6" si="3">SUM(C4:C5)</f>
        <v>411163</v>
      </c>
      <c r="D6" s="7">
        <f t="shared" si="3"/>
        <v>429904</v>
      </c>
      <c r="E6" s="7">
        <f t="shared" si="3"/>
        <v>446623</v>
      </c>
      <c r="F6" s="7">
        <f t="shared" si="3"/>
        <v>449170</v>
      </c>
      <c r="G6" s="7">
        <f t="shared" si="3"/>
        <v>436693</v>
      </c>
      <c r="H6" s="7">
        <f t="shared" si="3"/>
        <v>456253</v>
      </c>
      <c r="I6" s="7">
        <f t="shared" si="3"/>
        <v>481116</v>
      </c>
      <c r="J6" s="7">
        <f t="shared" si="3"/>
        <v>503832</v>
      </c>
      <c r="K6" s="7">
        <f>SUM(K4:K5)</f>
        <v>500331</v>
      </c>
      <c r="L6" s="7">
        <f>SUM(L4:L5)</f>
        <v>584331.37461358006</v>
      </c>
      <c r="M6" s="7">
        <f>SUM(M4:M5)</f>
        <v>705189.62538641994</v>
      </c>
      <c r="N6" s="7">
        <f>SUM(N4:N5)</f>
        <v>709535</v>
      </c>
      <c r="O6" s="7">
        <f>SUM(O4:O5)</f>
        <v>689636</v>
      </c>
      <c r="P6" s="97"/>
      <c r="R6" s="1"/>
      <c r="AB6" s="55"/>
    </row>
    <row r="7" spans="1:28">
      <c r="A7" s="109" t="s">
        <v>1</v>
      </c>
      <c r="B7" s="104" t="s">
        <v>99</v>
      </c>
      <c r="C7" s="6">
        <v>196098</v>
      </c>
      <c r="D7" s="6">
        <f t="shared" ref="D7:F8" si="4">+D45-C45</f>
        <v>196164</v>
      </c>
      <c r="E7" s="6">
        <f t="shared" si="4"/>
        <v>201064</v>
      </c>
      <c r="F7" s="6">
        <f t="shared" si="4"/>
        <v>205962</v>
      </c>
      <c r="G7" s="6">
        <v>209202</v>
      </c>
      <c r="H7" s="6">
        <f t="shared" ref="H7:J8" si="5">+H45-G45</f>
        <v>205359</v>
      </c>
      <c r="I7" s="6">
        <f t="shared" si="5"/>
        <v>205347</v>
      </c>
      <c r="J7" s="6">
        <f t="shared" si="5"/>
        <v>204337</v>
      </c>
      <c r="K7" s="6">
        <f>+K45</f>
        <v>201530</v>
      </c>
      <c r="L7" s="6">
        <f t="shared" ref="L7:N8" si="6">+L45-K45</f>
        <v>221297</v>
      </c>
      <c r="M7" s="6">
        <f t="shared" si="6"/>
        <v>238271</v>
      </c>
      <c r="N7" s="6">
        <f t="shared" si="6"/>
        <v>238789</v>
      </c>
      <c r="O7" s="6">
        <f>+O45</f>
        <v>247669</v>
      </c>
      <c r="P7" s="96"/>
      <c r="R7" s="1"/>
      <c r="AB7" s="55"/>
    </row>
    <row r="8" spans="1:28">
      <c r="A8" s="109" t="s">
        <v>288</v>
      </c>
      <c r="B8" s="104" t="s">
        <v>100</v>
      </c>
      <c r="C8" s="6">
        <v>-29981</v>
      </c>
      <c r="D8" s="6">
        <f t="shared" si="4"/>
        <v>-33646</v>
      </c>
      <c r="E8" s="6">
        <f t="shared" si="4"/>
        <v>-35526</v>
      </c>
      <c r="F8" s="6">
        <f t="shared" si="4"/>
        <v>-36582</v>
      </c>
      <c r="G8" s="6">
        <v>-36698</v>
      </c>
      <c r="H8" s="6">
        <f t="shared" si="5"/>
        <v>-41276</v>
      </c>
      <c r="I8" s="6">
        <f t="shared" si="5"/>
        <v>-42434</v>
      </c>
      <c r="J8" s="6">
        <f t="shared" si="5"/>
        <v>-42768</v>
      </c>
      <c r="K8" s="6">
        <f>+K46</f>
        <v>-38356</v>
      </c>
      <c r="L8" s="6">
        <f t="shared" si="6"/>
        <v>-46272</v>
      </c>
      <c r="M8" s="6">
        <f t="shared" si="6"/>
        <v>-59964</v>
      </c>
      <c r="N8" s="6">
        <f t="shared" si="6"/>
        <v>-56142</v>
      </c>
      <c r="O8" s="6">
        <f>+O46</f>
        <v>-53136</v>
      </c>
      <c r="P8" s="96"/>
      <c r="R8" s="1"/>
      <c r="AB8" s="55"/>
    </row>
    <row r="9" spans="1:28">
      <c r="A9" s="190" t="s">
        <v>3</v>
      </c>
      <c r="B9" s="106" t="s">
        <v>101</v>
      </c>
      <c r="C9" s="7">
        <f t="shared" ref="C9:J9" si="7">SUM(C7:C8)</f>
        <v>166117</v>
      </c>
      <c r="D9" s="7">
        <f t="shared" si="7"/>
        <v>162518</v>
      </c>
      <c r="E9" s="7">
        <f t="shared" si="7"/>
        <v>165538</v>
      </c>
      <c r="F9" s="7">
        <f t="shared" si="7"/>
        <v>169380</v>
      </c>
      <c r="G9" s="7">
        <f t="shared" si="7"/>
        <v>172504</v>
      </c>
      <c r="H9" s="7">
        <f t="shared" si="7"/>
        <v>164083</v>
      </c>
      <c r="I9" s="7">
        <f t="shared" si="7"/>
        <v>162913</v>
      </c>
      <c r="J9" s="7">
        <f t="shared" si="7"/>
        <v>161569</v>
      </c>
      <c r="K9" s="7">
        <f>SUM(K7:K8)</f>
        <v>163174</v>
      </c>
      <c r="L9" s="7">
        <f>SUM(L7:L8)</f>
        <v>175025</v>
      </c>
      <c r="M9" s="7">
        <f>SUM(M7:M8)</f>
        <v>178307</v>
      </c>
      <c r="N9" s="7">
        <f>SUM(N7:N8)</f>
        <v>182647</v>
      </c>
      <c r="O9" s="7">
        <f>SUM(O7:O8)</f>
        <v>194533</v>
      </c>
      <c r="P9" s="96"/>
      <c r="R9" s="1"/>
      <c r="AB9" s="55"/>
    </row>
    <row r="10" spans="1:28">
      <c r="A10" s="109" t="s">
        <v>4</v>
      </c>
      <c r="B10" s="104" t="s">
        <v>102</v>
      </c>
      <c r="C10" s="6">
        <v>285</v>
      </c>
      <c r="D10" s="6">
        <f t="shared" ref="D10:F17" si="8">+D48-C48</f>
        <v>2041</v>
      </c>
      <c r="E10" s="6">
        <f t="shared" si="8"/>
        <v>139</v>
      </c>
      <c r="F10" s="6">
        <f t="shared" si="8"/>
        <v>147</v>
      </c>
      <c r="G10" s="6">
        <v>149</v>
      </c>
      <c r="H10" s="6">
        <f t="shared" ref="H10:J17" si="9">+H48-G48</f>
        <v>2075</v>
      </c>
      <c r="I10" s="6">
        <f t="shared" si="9"/>
        <v>181</v>
      </c>
      <c r="J10" s="6">
        <f t="shared" si="9"/>
        <v>196</v>
      </c>
      <c r="K10" s="6">
        <f t="shared" ref="K10:K17" si="10">+K48</f>
        <v>198</v>
      </c>
      <c r="L10" s="6">
        <f t="shared" ref="L10:N17" si="11">+L48-K48</f>
        <v>2484</v>
      </c>
      <c r="M10" s="6">
        <f t="shared" si="11"/>
        <v>257</v>
      </c>
      <c r="N10" s="6">
        <f t="shared" si="11"/>
        <v>275</v>
      </c>
      <c r="O10" s="6">
        <f t="shared" ref="O10:O17" si="12">+O48</f>
        <v>243</v>
      </c>
      <c r="P10" s="96"/>
      <c r="R10" s="1"/>
      <c r="AB10" s="55"/>
    </row>
    <row r="11" spans="1:28" ht="36">
      <c r="A11" s="109" t="s">
        <v>289</v>
      </c>
      <c r="B11" s="104" t="s">
        <v>290</v>
      </c>
      <c r="C11" s="6">
        <v>332</v>
      </c>
      <c r="D11" s="6">
        <f t="shared" si="8"/>
        <v>3849</v>
      </c>
      <c r="E11" s="6">
        <f t="shared" si="8"/>
        <v>5038</v>
      </c>
      <c r="F11" s="6">
        <f t="shared" si="8"/>
        <v>16069</v>
      </c>
      <c r="G11" s="6">
        <v>3160</v>
      </c>
      <c r="H11" s="6">
        <f t="shared" si="9"/>
        <v>5439</v>
      </c>
      <c r="I11" s="6">
        <f t="shared" si="9"/>
        <v>7078</v>
      </c>
      <c r="J11" s="6">
        <f t="shared" si="9"/>
        <v>3220</v>
      </c>
      <c r="K11" s="6">
        <f t="shared" si="10"/>
        <v>14921</v>
      </c>
      <c r="L11" s="6">
        <f t="shared" si="11"/>
        <v>14383</v>
      </c>
      <c r="M11" s="6">
        <f t="shared" si="11"/>
        <v>5005</v>
      </c>
      <c r="N11" s="6">
        <f t="shared" si="11"/>
        <v>3718</v>
      </c>
      <c r="O11" s="6">
        <f t="shared" si="12"/>
        <v>13747</v>
      </c>
      <c r="P11" s="96"/>
      <c r="R11" s="1"/>
      <c r="AB11" s="55"/>
    </row>
    <row r="12" spans="1:28" ht="24">
      <c r="A12" s="109" t="s">
        <v>291</v>
      </c>
      <c r="B12" s="104" t="s">
        <v>292</v>
      </c>
      <c r="C12" s="6">
        <v>-1020</v>
      </c>
      <c r="D12" s="6">
        <f t="shared" si="8"/>
        <v>1763</v>
      </c>
      <c r="E12" s="6">
        <f t="shared" si="8"/>
        <v>165</v>
      </c>
      <c r="F12" s="6">
        <f t="shared" si="8"/>
        <v>1280</v>
      </c>
      <c r="G12" s="6">
        <v>8775</v>
      </c>
      <c r="H12" s="6">
        <f t="shared" si="9"/>
        <v>3883</v>
      </c>
      <c r="I12" s="6">
        <f t="shared" si="9"/>
        <v>3195</v>
      </c>
      <c r="J12" s="6">
        <f t="shared" si="9"/>
        <v>5503</v>
      </c>
      <c r="K12" s="6">
        <f t="shared" si="10"/>
        <v>1736</v>
      </c>
      <c r="L12" s="6">
        <f t="shared" si="11"/>
        <v>1753</v>
      </c>
      <c r="M12" s="6">
        <f t="shared" si="11"/>
        <v>1492</v>
      </c>
      <c r="N12" s="6">
        <f t="shared" si="11"/>
        <v>738</v>
      </c>
      <c r="O12" s="6">
        <f t="shared" si="12"/>
        <v>-4135</v>
      </c>
      <c r="P12" s="97"/>
      <c r="R12" s="1"/>
      <c r="AB12" s="55"/>
    </row>
    <row r="13" spans="1:28" ht="36">
      <c r="A13" s="109" t="s">
        <v>403</v>
      </c>
      <c r="B13" s="104" t="s">
        <v>404</v>
      </c>
      <c r="C13" s="6">
        <v>0</v>
      </c>
      <c r="D13" s="6">
        <f t="shared" si="8"/>
        <v>0</v>
      </c>
      <c r="E13" s="6">
        <f t="shared" si="8"/>
        <v>0</v>
      </c>
      <c r="F13" s="6">
        <f t="shared" si="8"/>
        <v>0</v>
      </c>
      <c r="G13" s="6">
        <v>853</v>
      </c>
      <c r="H13" s="6">
        <f t="shared" si="9"/>
        <v>6521</v>
      </c>
      <c r="I13" s="6">
        <f t="shared" si="9"/>
        <v>4160</v>
      </c>
      <c r="J13" s="6">
        <f t="shared" si="9"/>
        <v>2021</v>
      </c>
      <c r="K13" s="6">
        <f t="shared" si="10"/>
        <v>8982</v>
      </c>
      <c r="L13" s="6">
        <f t="shared" si="11"/>
        <v>6651</v>
      </c>
      <c r="M13" s="6">
        <f t="shared" si="11"/>
        <v>49795</v>
      </c>
      <c r="N13" s="6">
        <f t="shared" si="11"/>
        <v>23676</v>
      </c>
      <c r="O13" s="6">
        <f t="shared" si="12"/>
        <v>0</v>
      </c>
      <c r="P13" s="97"/>
      <c r="R13" s="1"/>
      <c r="AB13" s="55"/>
    </row>
    <row r="14" spans="1:28">
      <c r="A14" s="109" t="s">
        <v>293</v>
      </c>
      <c r="B14" s="104" t="s">
        <v>294</v>
      </c>
      <c r="C14" s="6">
        <v>-4072</v>
      </c>
      <c r="D14" s="6">
        <f t="shared" si="8"/>
        <v>-4517</v>
      </c>
      <c r="E14" s="6">
        <f t="shared" si="8"/>
        <v>-4118</v>
      </c>
      <c r="F14" s="6">
        <f t="shared" si="8"/>
        <v>-7670</v>
      </c>
      <c r="G14" s="6">
        <v>-5429</v>
      </c>
      <c r="H14" s="6">
        <f t="shared" si="9"/>
        <v>-4529</v>
      </c>
      <c r="I14" s="6">
        <f t="shared" si="9"/>
        <v>-4949</v>
      </c>
      <c r="J14" s="6">
        <f t="shared" si="9"/>
        <v>-5130</v>
      </c>
      <c r="K14" s="6">
        <f t="shared" si="10"/>
        <v>-4821</v>
      </c>
      <c r="L14" s="6">
        <f t="shared" si="11"/>
        <v>-5130</v>
      </c>
      <c r="M14" s="6">
        <f t="shared" si="11"/>
        <v>-5687</v>
      </c>
      <c r="N14" s="6">
        <f t="shared" si="11"/>
        <v>-4183</v>
      </c>
      <c r="O14" s="6">
        <f t="shared" si="12"/>
        <v>-4514</v>
      </c>
      <c r="P14" s="96"/>
      <c r="R14" s="1"/>
      <c r="AB14" s="55"/>
    </row>
    <row r="15" spans="1:28">
      <c r="A15" s="109" t="s">
        <v>295</v>
      </c>
      <c r="B15" s="104" t="s">
        <v>104</v>
      </c>
      <c r="C15" s="6">
        <v>40068</v>
      </c>
      <c r="D15" s="6">
        <f t="shared" si="8"/>
        <v>41418</v>
      </c>
      <c r="E15" s="6">
        <f t="shared" si="8"/>
        <v>43407</v>
      </c>
      <c r="F15" s="6">
        <f t="shared" si="8"/>
        <v>44625</v>
      </c>
      <c r="G15" s="6">
        <v>36975</v>
      </c>
      <c r="H15" s="6">
        <f t="shared" si="9"/>
        <v>37068</v>
      </c>
      <c r="I15" s="6">
        <f t="shared" si="9"/>
        <v>36443</v>
      </c>
      <c r="J15" s="6">
        <f t="shared" si="9"/>
        <v>41134</v>
      </c>
      <c r="K15" s="6">
        <f t="shared" si="10"/>
        <v>32903</v>
      </c>
      <c r="L15" s="6">
        <f t="shared" si="11"/>
        <v>45774</v>
      </c>
      <c r="M15" s="6">
        <f t="shared" si="11"/>
        <v>45463</v>
      </c>
      <c r="N15" s="6">
        <f t="shared" si="11"/>
        <v>39007</v>
      </c>
      <c r="O15" s="6">
        <f t="shared" si="12"/>
        <v>43684</v>
      </c>
      <c r="P15" s="96"/>
      <c r="R15" s="1"/>
      <c r="AB15" s="55"/>
    </row>
    <row r="16" spans="1:28">
      <c r="A16" s="109" t="s">
        <v>6</v>
      </c>
      <c r="B16" s="104" t="s">
        <v>296</v>
      </c>
      <c r="C16" s="6">
        <v>25458</v>
      </c>
      <c r="D16" s="6">
        <f t="shared" si="8"/>
        <v>10980</v>
      </c>
      <c r="E16" s="6">
        <f t="shared" si="8"/>
        <v>20924</v>
      </c>
      <c r="F16" s="6">
        <f t="shared" si="8"/>
        <v>12547</v>
      </c>
      <c r="G16" s="6">
        <v>13733</v>
      </c>
      <c r="H16" s="6">
        <f t="shared" si="9"/>
        <v>11158</v>
      </c>
      <c r="I16" s="6">
        <f t="shared" si="9"/>
        <v>9742</v>
      </c>
      <c r="J16" s="6">
        <f t="shared" si="9"/>
        <v>16077</v>
      </c>
      <c r="K16" s="6">
        <f t="shared" si="10"/>
        <v>39518</v>
      </c>
      <c r="L16" s="6">
        <f t="shared" si="11"/>
        <v>12147</v>
      </c>
      <c r="M16" s="6">
        <f t="shared" si="11"/>
        <v>28466</v>
      </c>
      <c r="N16" s="6">
        <f t="shared" si="11"/>
        <v>17451</v>
      </c>
      <c r="O16" s="6">
        <f t="shared" si="12"/>
        <v>12593</v>
      </c>
      <c r="P16" s="97"/>
      <c r="R16" s="1"/>
      <c r="AB16" s="55"/>
    </row>
    <row r="17" spans="1:28">
      <c r="A17" s="109" t="s">
        <v>11</v>
      </c>
      <c r="B17" s="104" t="s">
        <v>297</v>
      </c>
      <c r="C17" s="6">
        <v>-15466</v>
      </c>
      <c r="D17" s="6">
        <f t="shared" si="8"/>
        <v>-13042</v>
      </c>
      <c r="E17" s="6">
        <f t="shared" si="8"/>
        <v>-20092</v>
      </c>
      <c r="F17" s="6">
        <f t="shared" si="8"/>
        <v>-29350</v>
      </c>
      <c r="G17" s="6">
        <v>-10986</v>
      </c>
      <c r="H17" s="6">
        <f t="shared" si="9"/>
        <v>-13072</v>
      </c>
      <c r="I17" s="6">
        <f t="shared" si="9"/>
        <v>-10288</v>
      </c>
      <c r="J17" s="6">
        <f t="shared" si="9"/>
        <v>-15682</v>
      </c>
      <c r="K17" s="6">
        <f t="shared" si="10"/>
        <v>-16106</v>
      </c>
      <c r="L17" s="6">
        <f t="shared" si="11"/>
        <v>-14813</v>
      </c>
      <c r="M17" s="6">
        <f t="shared" si="11"/>
        <v>-54350</v>
      </c>
      <c r="N17" s="6">
        <f t="shared" si="11"/>
        <v>-18720</v>
      </c>
      <c r="O17" s="6">
        <f t="shared" si="12"/>
        <v>-25060</v>
      </c>
      <c r="P17" s="96"/>
      <c r="R17" s="1"/>
      <c r="AB17" s="55"/>
    </row>
    <row r="18" spans="1:28">
      <c r="A18" s="190" t="s">
        <v>352</v>
      </c>
      <c r="B18" s="106" t="s">
        <v>349</v>
      </c>
      <c r="C18" s="7">
        <f t="shared" ref="C18:J18" si="13">SUM(C9:C17,C6)</f>
        <v>622865</v>
      </c>
      <c r="D18" s="7">
        <f t="shared" si="13"/>
        <v>634914</v>
      </c>
      <c r="E18" s="7">
        <f t="shared" si="13"/>
        <v>657624</v>
      </c>
      <c r="F18" s="7">
        <f t="shared" si="13"/>
        <v>656198</v>
      </c>
      <c r="G18" s="7">
        <f t="shared" si="13"/>
        <v>656427</v>
      </c>
      <c r="H18" s="7">
        <f t="shared" si="13"/>
        <v>668879</v>
      </c>
      <c r="I18" s="7">
        <f t="shared" si="13"/>
        <v>689591</v>
      </c>
      <c r="J18" s="7">
        <f t="shared" si="13"/>
        <v>712740</v>
      </c>
      <c r="K18" s="7">
        <f>SUM(K9:K17,K6)</f>
        <v>740836</v>
      </c>
      <c r="L18" s="7">
        <f>SUM(L9:L17,L6)</f>
        <v>822605.37461358006</v>
      </c>
      <c r="M18" s="7">
        <f>SUM(M9:M17,M6)</f>
        <v>953937.62538641994</v>
      </c>
      <c r="N18" s="7">
        <f>SUM(N9:N17,N6)</f>
        <v>954144</v>
      </c>
      <c r="O18" s="7">
        <f>SUM(O9:O17,O6)</f>
        <v>920727</v>
      </c>
      <c r="P18" s="97"/>
      <c r="R18" s="1"/>
      <c r="AB18" s="55"/>
    </row>
    <row r="19" spans="1:28">
      <c r="A19" s="109" t="s">
        <v>506</v>
      </c>
      <c r="B19" s="104" t="s">
        <v>299</v>
      </c>
      <c r="C19" s="6">
        <v>-301331</v>
      </c>
      <c r="D19" s="6">
        <f t="shared" ref="D19:F20" si="14">+D57-C57</f>
        <v>-279478</v>
      </c>
      <c r="E19" s="6">
        <f t="shared" si="14"/>
        <v>-277520</v>
      </c>
      <c r="F19" s="6">
        <f t="shared" si="14"/>
        <v>-291394</v>
      </c>
      <c r="G19" s="6">
        <v>-316822</v>
      </c>
      <c r="H19" s="6">
        <f t="shared" ref="H19:J20" si="15">+H57-G57</f>
        <v>-288781</v>
      </c>
      <c r="I19" s="6">
        <f t="shared" si="15"/>
        <v>-302770</v>
      </c>
      <c r="J19" s="6">
        <f t="shared" si="15"/>
        <v>-305392</v>
      </c>
      <c r="K19" s="6">
        <f>+K57</f>
        <v>-351056</v>
      </c>
      <c r="L19" s="6">
        <f t="shared" ref="L19:N20" si="16">+L57-K57</f>
        <v>-331932</v>
      </c>
      <c r="M19" s="6">
        <f t="shared" si="16"/>
        <v>-426448</v>
      </c>
      <c r="N19" s="6">
        <f t="shared" si="16"/>
        <v>-435747</v>
      </c>
      <c r="O19" s="6">
        <f>+O57</f>
        <v>-464566</v>
      </c>
      <c r="P19" s="53"/>
      <c r="R19" s="1"/>
      <c r="AB19" s="55"/>
    </row>
    <row r="20" spans="1:28">
      <c r="A20" s="109" t="s">
        <v>300</v>
      </c>
      <c r="B20" s="104" t="s">
        <v>301</v>
      </c>
      <c r="C20" s="8">
        <v>-13119</v>
      </c>
      <c r="D20" s="8">
        <f t="shared" si="14"/>
        <v>-13740</v>
      </c>
      <c r="E20" s="8">
        <f t="shared" si="14"/>
        <v>-12995</v>
      </c>
      <c r="F20" s="8">
        <f t="shared" si="14"/>
        <v>-13117</v>
      </c>
      <c r="G20" s="8">
        <v>-13409</v>
      </c>
      <c r="H20" s="8">
        <f t="shared" si="15"/>
        <v>-13206</v>
      </c>
      <c r="I20" s="8">
        <f t="shared" si="15"/>
        <v>-13254</v>
      </c>
      <c r="J20" s="8">
        <f t="shared" si="15"/>
        <v>-14358</v>
      </c>
      <c r="K20" s="8">
        <f>+K58</f>
        <v>-33412</v>
      </c>
      <c r="L20" s="8">
        <f t="shared" si="16"/>
        <v>-39627</v>
      </c>
      <c r="M20" s="8">
        <f t="shared" si="16"/>
        <v>-53622</v>
      </c>
      <c r="N20" s="8">
        <f t="shared" si="16"/>
        <v>-54211</v>
      </c>
      <c r="O20" s="8">
        <f>+O58</f>
        <v>-53340</v>
      </c>
      <c r="P20" s="96"/>
      <c r="R20" s="1"/>
      <c r="AB20" s="55"/>
    </row>
    <row r="21" spans="1:28">
      <c r="A21" s="190" t="s">
        <v>353</v>
      </c>
      <c r="B21" s="106" t="s">
        <v>354</v>
      </c>
      <c r="C21" s="7">
        <f t="shared" ref="C21:M21" si="17">SUM(C19:C20)</f>
        <v>-314450</v>
      </c>
      <c r="D21" s="7">
        <f t="shared" si="17"/>
        <v>-293218</v>
      </c>
      <c r="E21" s="7">
        <f t="shared" si="17"/>
        <v>-290515</v>
      </c>
      <c r="F21" s="7">
        <f t="shared" si="17"/>
        <v>-304511</v>
      </c>
      <c r="G21" s="7">
        <f t="shared" si="17"/>
        <v>-330231</v>
      </c>
      <c r="H21" s="7">
        <f t="shared" si="17"/>
        <v>-301987</v>
      </c>
      <c r="I21" s="7">
        <f t="shared" si="17"/>
        <v>-316024</v>
      </c>
      <c r="J21" s="7">
        <f t="shared" si="17"/>
        <v>-319750</v>
      </c>
      <c r="K21" s="7">
        <f t="shared" si="17"/>
        <v>-384468</v>
      </c>
      <c r="L21" s="7">
        <f t="shared" si="17"/>
        <v>-371559</v>
      </c>
      <c r="M21" s="7">
        <f t="shared" si="17"/>
        <v>-480070</v>
      </c>
      <c r="N21" s="7">
        <f>SUM(N19:N20)</f>
        <v>-489958</v>
      </c>
      <c r="O21" s="7">
        <f>SUM(O19:O20)</f>
        <v>-517906</v>
      </c>
      <c r="P21" s="96"/>
      <c r="R21" s="1"/>
      <c r="AB21" s="55"/>
    </row>
    <row r="22" spans="1:28">
      <c r="A22" s="109" t="s">
        <v>8</v>
      </c>
      <c r="B22" s="104" t="s">
        <v>111</v>
      </c>
      <c r="C22" s="6">
        <v>-59501</v>
      </c>
      <c r="D22" s="6">
        <f>+D60-C60</f>
        <v>-62779</v>
      </c>
      <c r="E22" s="6">
        <f>+E60-D60</f>
        <v>-69176</v>
      </c>
      <c r="F22" s="6">
        <f>+F60-E60</f>
        <v>-62703</v>
      </c>
      <c r="G22" s="6">
        <v>-47651</v>
      </c>
      <c r="H22" s="6">
        <f>+H60-G60</f>
        <v>-50138</v>
      </c>
      <c r="I22" s="6">
        <f>+I60-H60</f>
        <v>-52046</v>
      </c>
      <c r="J22" s="6">
        <f>+J60-I60</f>
        <v>-52132</v>
      </c>
      <c r="K22" s="6">
        <f>+K60</f>
        <v>-63094</v>
      </c>
      <c r="L22" s="6">
        <f>+L60-K60</f>
        <v>-154086</v>
      </c>
      <c r="M22" s="6">
        <f>+M60-L60</f>
        <v>-124998</v>
      </c>
      <c r="N22" s="6">
        <f>+N60-M60</f>
        <v>-60565</v>
      </c>
      <c r="O22" s="6">
        <f t="shared" ref="O22:O27" si="18">+O60</f>
        <v>-121565</v>
      </c>
      <c r="P22" s="96"/>
      <c r="R22" s="1"/>
      <c r="AB22" s="55"/>
    </row>
    <row r="23" spans="1:28" s="69" customFormat="1">
      <c r="A23" s="129" t="s">
        <v>530</v>
      </c>
      <c r="B23" s="129" t="s">
        <v>529</v>
      </c>
      <c r="C23" s="6"/>
      <c r="D23" s="6"/>
      <c r="E23" s="6"/>
      <c r="F23" s="6"/>
      <c r="G23" s="6"/>
      <c r="H23" s="6"/>
      <c r="I23" s="6"/>
      <c r="J23" s="6"/>
      <c r="K23" s="6"/>
      <c r="L23" s="6"/>
      <c r="M23" s="6"/>
      <c r="N23" s="6"/>
      <c r="O23" s="6">
        <f t="shared" si="18"/>
        <v>-60000</v>
      </c>
      <c r="P23" s="98"/>
      <c r="S23" s="53"/>
      <c r="T23" s="53"/>
      <c r="U23" s="53"/>
      <c r="V23" s="53"/>
      <c r="W23" s="53"/>
      <c r="X23" s="53"/>
      <c r="Y23" s="53"/>
      <c r="Z23" s="53"/>
      <c r="AA23" s="53"/>
      <c r="AB23" s="53"/>
    </row>
    <row r="24" spans="1:28">
      <c r="A24" s="109" t="s">
        <v>9</v>
      </c>
      <c r="B24" s="104" t="s">
        <v>112</v>
      </c>
      <c r="C24" s="6">
        <v>-230</v>
      </c>
      <c r="D24" s="6">
        <f>+D62-C62</f>
        <v>-191</v>
      </c>
      <c r="E24" s="6">
        <f>+E62-D62</f>
        <v>-522</v>
      </c>
      <c r="F24" s="6">
        <f>+F62-E62</f>
        <v>-256</v>
      </c>
      <c r="G24" s="6">
        <v>-38</v>
      </c>
      <c r="H24" s="6">
        <f>+H62-G62</f>
        <v>12</v>
      </c>
      <c r="I24" s="6">
        <f>+I62-H62</f>
        <v>-794</v>
      </c>
      <c r="J24" s="6">
        <f>+J62-I62</f>
        <v>311</v>
      </c>
      <c r="K24" s="6">
        <f>+K62</f>
        <v>-647</v>
      </c>
      <c r="L24" s="6">
        <f>+L62-K62</f>
        <v>-653</v>
      </c>
      <c r="M24" s="6">
        <f>+M62-L62</f>
        <v>-1005</v>
      </c>
      <c r="N24" s="6">
        <f>+N62-M62</f>
        <v>1112</v>
      </c>
      <c r="O24" s="6">
        <f t="shared" si="18"/>
        <v>-1764</v>
      </c>
      <c r="P24" s="98"/>
      <c r="R24" s="1"/>
      <c r="AB24" s="55"/>
    </row>
    <row r="25" spans="1:28" ht="24">
      <c r="A25" s="109" t="s">
        <v>444</v>
      </c>
      <c r="B25" s="104" t="s">
        <v>443</v>
      </c>
      <c r="C25" s="6"/>
      <c r="D25" s="6"/>
      <c r="E25" s="6"/>
      <c r="F25" s="6"/>
      <c r="G25" s="6"/>
      <c r="H25" s="6"/>
      <c r="I25" s="6"/>
      <c r="J25" s="6"/>
      <c r="K25" s="6"/>
      <c r="L25" s="6"/>
      <c r="M25" s="6"/>
      <c r="N25" s="6">
        <f>+N63-M63</f>
        <v>-223134</v>
      </c>
      <c r="O25" s="6">
        <f t="shared" si="18"/>
        <v>-55325</v>
      </c>
      <c r="P25" s="53"/>
      <c r="R25" s="1"/>
      <c r="AB25" s="55"/>
    </row>
    <row r="26" spans="1:28">
      <c r="A26" s="109" t="s">
        <v>302</v>
      </c>
      <c r="B26" s="104" t="s">
        <v>303</v>
      </c>
      <c r="C26" s="6">
        <v>0</v>
      </c>
      <c r="D26" s="6">
        <f t="shared" ref="D26:F27" si="19">+D64-C64</f>
        <v>0</v>
      </c>
      <c r="E26" s="6">
        <f t="shared" si="19"/>
        <v>0</v>
      </c>
      <c r="F26" s="6">
        <f t="shared" si="19"/>
        <v>0</v>
      </c>
      <c r="G26" s="6">
        <v>-4299</v>
      </c>
      <c r="H26" s="6">
        <f t="shared" ref="H26:J27" si="20">+H64-G64</f>
        <v>-3064</v>
      </c>
      <c r="I26" s="6">
        <f t="shared" si="20"/>
        <v>-2824</v>
      </c>
      <c r="J26" s="6">
        <f t="shared" si="20"/>
        <v>-3970</v>
      </c>
      <c r="K26" s="6">
        <f>+K64</f>
        <v>-3666</v>
      </c>
      <c r="L26" s="6">
        <f>+L64-K64</f>
        <v>-2969</v>
      </c>
      <c r="M26" s="6">
        <f>+M64-L64</f>
        <v>-2552</v>
      </c>
      <c r="N26" s="6">
        <f>+N64-M64</f>
        <v>-2476</v>
      </c>
      <c r="O26" s="6">
        <f t="shared" si="18"/>
        <v>-1949</v>
      </c>
      <c r="P26" s="53"/>
      <c r="R26" s="1"/>
      <c r="AB26" s="55"/>
    </row>
    <row r="27" spans="1:28" ht="24">
      <c r="A27" s="109" t="s">
        <v>405</v>
      </c>
      <c r="B27" s="104" t="s">
        <v>406</v>
      </c>
      <c r="C27" s="6"/>
      <c r="D27" s="6">
        <f t="shared" si="19"/>
        <v>0</v>
      </c>
      <c r="E27" s="6">
        <f t="shared" si="19"/>
        <v>0</v>
      </c>
      <c r="F27" s="6">
        <f t="shared" si="19"/>
        <v>0</v>
      </c>
      <c r="G27" s="6">
        <v>-3136</v>
      </c>
      <c r="H27" s="6">
        <f t="shared" si="20"/>
        <v>-5066</v>
      </c>
      <c r="I27" s="6">
        <f t="shared" si="20"/>
        <v>-5116</v>
      </c>
      <c r="J27" s="6">
        <f t="shared" si="20"/>
        <v>-6612</v>
      </c>
      <c r="K27" s="6">
        <f>+K65</f>
        <v>-4929</v>
      </c>
      <c r="L27" s="6">
        <f>+L65-K65</f>
        <v>-172</v>
      </c>
      <c r="M27" s="6">
        <f>+M65-L65</f>
        <v>-7800</v>
      </c>
      <c r="N27" s="6">
        <f>+N65-M65</f>
        <v>-10500</v>
      </c>
      <c r="O27" s="6">
        <f t="shared" si="18"/>
        <v>-11679</v>
      </c>
      <c r="R27" s="1"/>
      <c r="AB27" s="55"/>
    </row>
    <row r="28" spans="1:28">
      <c r="A28" s="190" t="s">
        <v>304</v>
      </c>
      <c r="B28" s="106" t="s">
        <v>113</v>
      </c>
      <c r="C28" s="7">
        <f t="shared" ref="C28:J28" si="21">SUM(C22:C27,C21,C18)</f>
        <v>248684</v>
      </c>
      <c r="D28" s="7">
        <f t="shared" si="21"/>
        <v>278726</v>
      </c>
      <c r="E28" s="7">
        <f t="shared" si="21"/>
        <v>297411</v>
      </c>
      <c r="F28" s="7">
        <f t="shared" si="21"/>
        <v>288728</v>
      </c>
      <c r="G28" s="7">
        <f t="shared" si="21"/>
        <v>271072</v>
      </c>
      <c r="H28" s="7">
        <f t="shared" si="21"/>
        <v>308636</v>
      </c>
      <c r="I28" s="7">
        <f t="shared" si="21"/>
        <v>312787</v>
      </c>
      <c r="J28" s="7">
        <f t="shared" si="21"/>
        <v>330587</v>
      </c>
      <c r="K28" s="7">
        <f>SUM(K22:K27,K21,K18)</f>
        <v>284032</v>
      </c>
      <c r="L28" s="7">
        <f>SUM(L22:L27,L21,L18)</f>
        <v>293166.37461358006</v>
      </c>
      <c r="M28" s="7">
        <f>SUM(M22:M27,M21,M18)</f>
        <v>337512.62538641994</v>
      </c>
      <c r="N28" s="7">
        <f>SUM(N22:N27,N21,N18)</f>
        <v>168623</v>
      </c>
      <c r="O28" s="7">
        <f>SUM(O22:O27,O21,O18)</f>
        <v>150539</v>
      </c>
      <c r="R28" s="1"/>
      <c r="AB28" s="55"/>
    </row>
    <row r="29" spans="1:28">
      <c r="A29" s="109" t="s">
        <v>305</v>
      </c>
      <c r="B29" s="104" t="s">
        <v>306</v>
      </c>
      <c r="C29" s="6">
        <v>0</v>
      </c>
      <c r="D29" s="6">
        <f t="shared" ref="D29:F30" si="22">+D67-C67</f>
        <v>0</v>
      </c>
      <c r="E29" s="6">
        <f t="shared" si="22"/>
        <v>0</v>
      </c>
      <c r="F29" s="6">
        <f t="shared" si="22"/>
        <v>0</v>
      </c>
      <c r="G29" s="6">
        <v>0</v>
      </c>
      <c r="H29" s="6">
        <f t="shared" ref="H29:J30" si="23">+H67-G67</f>
        <v>0</v>
      </c>
      <c r="I29" s="6">
        <f t="shared" si="23"/>
        <v>0</v>
      </c>
      <c r="J29" s="6">
        <f t="shared" si="23"/>
        <v>0</v>
      </c>
      <c r="K29" s="6">
        <f>+K67</f>
        <v>0</v>
      </c>
      <c r="L29" s="6">
        <f t="shared" ref="L29:N30" si="24">+L67-K67</f>
        <v>0</v>
      </c>
      <c r="M29" s="6">
        <f t="shared" si="24"/>
        <v>0</v>
      </c>
      <c r="N29" s="6">
        <f t="shared" si="24"/>
        <v>0</v>
      </c>
      <c r="O29" s="6">
        <f>+O67</f>
        <v>0</v>
      </c>
      <c r="R29" s="1"/>
      <c r="AB29" s="55"/>
    </row>
    <row r="30" spans="1:28">
      <c r="A30" s="109" t="s">
        <v>247</v>
      </c>
      <c r="B30" s="104" t="s">
        <v>248</v>
      </c>
      <c r="C30" s="6">
        <v>-47230</v>
      </c>
      <c r="D30" s="6">
        <f t="shared" si="22"/>
        <v>-46450</v>
      </c>
      <c r="E30" s="6">
        <f t="shared" si="22"/>
        <v>-46376</v>
      </c>
      <c r="F30" s="6">
        <f t="shared" si="22"/>
        <v>-48270</v>
      </c>
      <c r="G30" s="6">
        <v>-52178</v>
      </c>
      <c r="H30" s="6">
        <f t="shared" si="23"/>
        <v>-48478</v>
      </c>
      <c r="I30" s="6">
        <f t="shared" si="23"/>
        <v>-47869</v>
      </c>
      <c r="J30" s="6">
        <f t="shared" si="23"/>
        <v>-49952</v>
      </c>
      <c r="K30" s="6">
        <f>+K68</f>
        <v>-51358</v>
      </c>
      <c r="L30" s="6">
        <f t="shared" si="24"/>
        <v>-58650</v>
      </c>
      <c r="M30" s="6">
        <f t="shared" si="24"/>
        <v>-68849</v>
      </c>
      <c r="N30" s="6">
        <f t="shared" si="24"/>
        <v>-69134</v>
      </c>
      <c r="O30" s="6">
        <f>+O68</f>
        <v>-72741</v>
      </c>
      <c r="R30" s="1"/>
      <c r="AB30" s="55"/>
    </row>
    <row r="31" spans="1:28" ht="24">
      <c r="A31" s="190" t="s">
        <v>307</v>
      </c>
      <c r="B31" s="106" t="s">
        <v>308</v>
      </c>
      <c r="C31" s="7">
        <f t="shared" ref="C31:J31" si="25">SUM(C28:C30)</f>
        <v>201454</v>
      </c>
      <c r="D31" s="7">
        <f t="shared" si="25"/>
        <v>232276</v>
      </c>
      <c r="E31" s="7">
        <f t="shared" si="25"/>
        <v>251035</v>
      </c>
      <c r="F31" s="7">
        <f t="shared" si="25"/>
        <v>240458</v>
      </c>
      <c r="G31" s="7">
        <f t="shared" si="25"/>
        <v>218894</v>
      </c>
      <c r="H31" s="7">
        <f t="shared" si="25"/>
        <v>260158</v>
      </c>
      <c r="I31" s="7">
        <f t="shared" si="25"/>
        <v>264918</v>
      </c>
      <c r="J31" s="7">
        <f t="shared" si="25"/>
        <v>280635</v>
      </c>
      <c r="K31" s="7">
        <f>SUM(K28:K30)</f>
        <v>232674</v>
      </c>
      <c r="L31" s="7">
        <f>SUM(L28:L30)</f>
        <v>234516.37461358006</v>
      </c>
      <c r="M31" s="7">
        <f>SUM(M28:M30)</f>
        <v>268663.62538641994</v>
      </c>
      <c r="N31" s="7">
        <f>SUM(N28:N30)</f>
        <v>99489</v>
      </c>
      <c r="O31" s="7">
        <f>SUM(O28:O30)</f>
        <v>77798</v>
      </c>
      <c r="R31" s="1"/>
      <c r="AB31" s="55"/>
    </row>
    <row r="32" spans="1:28" ht="12.5" thickBot="1">
      <c r="A32" s="191" t="s">
        <v>15</v>
      </c>
      <c r="B32" s="107" t="s">
        <v>117</v>
      </c>
      <c r="C32" s="9">
        <v>-60956</v>
      </c>
      <c r="D32" s="9">
        <f>+D70-C70</f>
        <v>-58678</v>
      </c>
      <c r="E32" s="9">
        <f>+E70-D70</f>
        <v>-63551</v>
      </c>
      <c r="F32" s="9">
        <f>+F70-E70</f>
        <v>-60811</v>
      </c>
      <c r="G32" s="9">
        <v>-63618</v>
      </c>
      <c r="H32" s="9">
        <f>+H70-G70</f>
        <v>-67489</v>
      </c>
      <c r="I32" s="9">
        <f>+I70-H70</f>
        <v>-64729</v>
      </c>
      <c r="J32" s="9">
        <f>+J70-I70</f>
        <v>-68118</v>
      </c>
      <c r="K32" s="9">
        <f>+K70</f>
        <v>-72708</v>
      </c>
      <c r="L32" s="9">
        <f>+L70-K70</f>
        <v>-60859</v>
      </c>
      <c r="M32" s="9">
        <f>+M70-L70</f>
        <v>-68524</v>
      </c>
      <c r="N32" s="9">
        <f>+N70-M70</f>
        <v>-72520</v>
      </c>
      <c r="O32" s="9">
        <f>+O70</f>
        <v>-59669</v>
      </c>
      <c r="R32" s="1"/>
      <c r="AB32" s="55"/>
    </row>
    <row r="33" spans="1:28" ht="12.5" thickBot="1">
      <c r="A33" s="110" t="s">
        <v>309</v>
      </c>
      <c r="B33" s="108" t="s">
        <v>116</v>
      </c>
      <c r="C33" s="3">
        <f t="shared" ref="C33:J33" si="26">+C32+C31</f>
        <v>140498</v>
      </c>
      <c r="D33" s="3">
        <f t="shared" si="26"/>
        <v>173598</v>
      </c>
      <c r="E33" s="3">
        <f t="shared" si="26"/>
        <v>187484</v>
      </c>
      <c r="F33" s="3">
        <f t="shared" si="26"/>
        <v>179647</v>
      </c>
      <c r="G33" s="3">
        <f t="shared" si="26"/>
        <v>155276</v>
      </c>
      <c r="H33" s="3">
        <f t="shared" si="26"/>
        <v>192669</v>
      </c>
      <c r="I33" s="3">
        <f t="shared" si="26"/>
        <v>200189</v>
      </c>
      <c r="J33" s="3">
        <f t="shared" si="26"/>
        <v>212517</v>
      </c>
      <c r="K33" s="3">
        <f>+K32+K31</f>
        <v>159966</v>
      </c>
      <c r="L33" s="3">
        <f>+L32+L31</f>
        <v>173657.37461358006</v>
      </c>
      <c r="M33" s="3">
        <f>+M32+M31</f>
        <v>200139.62538641994</v>
      </c>
      <c r="N33" s="3">
        <f>+N32+N31</f>
        <v>26969</v>
      </c>
      <c r="O33" s="3">
        <f>+O32+O31</f>
        <v>18129</v>
      </c>
      <c r="R33" s="1"/>
      <c r="AB33" s="55"/>
    </row>
    <row r="34" spans="1:28">
      <c r="A34" s="192" t="s">
        <v>17</v>
      </c>
      <c r="B34" s="105" t="s">
        <v>92</v>
      </c>
      <c r="C34" s="10"/>
      <c r="D34" s="10"/>
      <c r="E34" s="10"/>
      <c r="F34" s="10"/>
      <c r="G34" s="10"/>
      <c r="H34" s="10"/>
      <c r="I34" s="10"/>
      <c r="J34" s="10"/>
      <c r="K34" s="10"/>
      <c r="L34" s="10"/>
      <c r="M34" s="10"/>
      <c r="N34" s="10"/>
      <c r="O34" s="10"/>
      <c r="R34" s="1"/>
      <c r="AB34" s="55"/>
    </row>
    <row r="35" spans="1:28">
      <c r="A35" s="193" t="s">
        <v>18</v>
      </c>
      <c r="B35" s="163" t="s">
        <v>310</v>
      </c>
      <c r="C35" s="6">
        <v>140498</v>
      </c>
      <c r="D35" s="6">
        <f t="shared" ref="D35:F36" si="27">+D73-C73</f>
        <v>173598</v>
      </c>
      <c r="E35" s="6">
        <f t="shared" si="27"/>
        <v>187484</v>
      </c>
      <c r="F35" s="6">
        <f t="shared" si="27"/>
        <v>179647</v>
      </c>
      <c r="G35" s="6">
        <v>155276</v>
      </c>
      <c r="H35" s="6">
        <f t="shared" ref="H35:J36" si="28">+H73-G73</f>
        <v>192669</v>
      </c>
      <c r="I35" s="6">
        <f t="shared" si="28"/>
        <v>200189</v>
      </c>
      <c r="J35" s="6">
        <f t="shared" si="28"/>
        <v>212517</v>
      </c>
      <c r="K35" s="6">
        <f>+K73</f>
        <v>159966</v>
      </c>
      <c r="L35" s="6">
        <f>+L73-K73</f>
        <v>173657.37461358006</v>
      </c>
      <c r="M35" s="6">
        <f>+M73-L73</f>
        <v>200139.62538641994</v>
      </c>
      <c r="N35" s="6">
        <f>+N73-M73</f>
        <v>26969</v>
      </c>
      <c r="O35" s="6">
        <f>+O73</f>
        <v>18129</v>
      </c>
      <c r="R35" s="1"/>
      <c r="AB35" s="55"/>
    </row>
    <row r="36" spans="1:28">
      <c r="A36" s="193" t="s">
        <v>19</v>
      </c>
      <c r="B36" s="193" t="s">
        <v>311</v>
      </c>
      <c r="C36" s="6">
        <v>0</v>
      </c>
      <c r="D36" s="6">
        <f t="shared" si="27"/>
        <v>0</v>
      </c>
      <c r="E36" s="6">
        <f t="shared" si="27"/>
        <v>0</v>
      </c>
      <c r="F36" s="6">
        <f t="shared" si="27"/>
        <v>0</v>
      </c>
      <c r="G36" s="6">
        <v>0</v>
      </c>
      <c r="H36" s="6">
        <f t="shared" si="28"/>
        <v>0</v>
      </c>
      <c r="I36" s="6">
        <f t="shared" si="28"/>
        <v>0</v>
      </c>
      <c r="J36" s="6">
        <f t="shared" si="28"/>
        <v>0</v>
      </c>
      <c r="K36" s="6">
        <f>+K74-J74</f>
        <v>0</v>
      </c>
      <c r="L36" s="6">
        <f>+L74-I74</f>
        <v>0</v>
      </c>
      <c r="M36" s="6">
        <f>+M74-J74</f>
        <v>0</v>
      </c>
      <c r="N36" s="6">
        <f>+N74-K74</f>
        <v>0</v>
      </c>
      <c r="O36" s="6">
        <f>+O74-N74</f>
        <v>0</v>
      </c>
      <c r="R36" s="1"/>
      <c r="AB36" s="55"/>
    </row>
    <row r="39" spans="1:28" ht="15.5">
      <c r="A39" s="83" t="s">
        <v>400</v>
      </c>
    </row>
    <row r="40" spans="1:28" ht="15.5">
      <c r="A40" s="83" t="s">
        <v>491</v>
      </c>
    </row>
    <row r="41" spans="1:28" s="207" customFormat="1" ht="24.5" thickBot="1">
      <c r="A41" s="187" t="s">
        <v>514</v>
      </c>
      <c r="B41" s="187" t="s">
        <v>172</v>
      </c>
      <c r="C41" s="205" t="s">
        <v>262</v>
      </c>
      <c r="D41" s="205" t="s">
        <v>267</v>
      </c>
      <c r="E41" s="205" t="s">
        <v>275</v>
      </c>
      <c r="F41" s="205" t="s">
        <v>282</v>
      </c>
      <c r="G41" s="205" t="s">
        <v>285</v>
      </c>
      <c r="H41" s="205" t="s">
        <v>370</v>
      </c>
      <c r="I41" s="205" t="s">
        <v>413</v>
      </c>
      <c r="J41" s="205" t="s">
        <v>418</v>
      </c>
      <c r="K41" s="205" t="s">
        <v>422</v>
      </c>
      <c r="L41" s="205" t="s">
        <v>431</v>
      </c>
      <c r="M41" s="205" t="s">
        <v>437</v>
      </c>
      <c r="N41" s="205" t="s">
        <v>441</v>
      </c>
      <c r="O41" s="205" t="s">
        <v>527</v>
      </c>
      <c r="R41" s="208"/>
      <c r="S41" s="208"/>
      <c r="T41" s="218"/>
      <c r="U41" s="208"/>
      <c r="V41" s="208"/>
      <c r="W41" s="208"/>
      <c r="X41" s="208"/>
      <c r="Y41" s="208"/>
      <c r="Z41" s="208"/>
      <c r="AA41" s="208"/>
    </row>
    <row r="42" spans="1:28">
      <c r="A42" s="104" t="s">
        <v>25</v>
      </c>
      <c r="B42" s="105" t="s">
        <v>286</v>
      </c>
      <c r="C42" s="5">
        <v>594025</v>
      </c>
      <c r="D42" s="5">
        <v>1196582</v>
      </c>
      <c r="E42" s="5">
        <v>1818176</v>
      </c>
      <c r="F42" s="5">
        <v>2439330</v>
      </c>
      <c r="G42" s="5">
        <v>617997</v>
      </c>
      <c r="H42" s="5">
        <v>1258158</v>
      </c>
      <c r="I42" s="5">
        <v>1923680</v>
      </c>
      <c r="J42" s="5">
        <v>2622338</v>
      </c>
      <c r="K42" s="5">
        <f>694559+K84</f>
        <v>710898</v>
      </c>
      <c r="L42" s="5">
        <f>1487497.37461358+L84</f>
        <v>1515632.3746135801</v>
      </c>
      <c r="M42" s="5">
        <f>2427665+M84</f>
        <v>2473412</v>
      </c>
      <c r="N42" s="5">
        <f>3374836+N84</f>
        <v>3437304</v>
      </c>
      <c r="O42" s="5">
        <f>927731+O84</f>
        <v>941600</v>
      </c>
      <c r="Q42" s="28"/>
      <c r="T42" s="162"/>
    </row>
    <row r="43" spans="1:28">
      <c r="A43" s="104" t="s">
        <v>287</v>
      </c>
      <c r="B43" s="104" t="s">
        <v>97</v>
      </c>
      <c r="C43" s="6">
        <v>-182862</v>
      </c>
      <c r="D43" s="6">
        <v>-355515</v>
      </c>
      <c r="E43" s="6">
        <v>-530486</v>
      </c>
      <c r="F43" s="6">
        <v>-702470</v>
      </c>
      <c r="G43" s="6">
        <v>-181304</v>
      </c>
      <c r="H43" s="6">
        <v>-365212</v>
      </c>
      <c r="I43" s="6">
        <v>-549618</v>
      </c>
      <c r="J43" s="6">
        <v>-744444</v>
      </c>
      <c r="K43" s="6">
        <v>-210567</v>
      </c>
      <c r="L43" s="6">
        <v>-430970</v>
      </c>
      <c r="M43" s="6">
        <v>-683560</v>
      </c>
      <c r="N43" s="6">
        <v>-937917</v>
      </c>
      <c r="O43" s="6">
        <v>-251964</v>
      </c>
      <c r="Q43" s="28"/>
      <c r="T43" s="162"/>
    </row>
    <row r="44" spans="1:28">
      <c r="A44" s="106" t="s">
        <v>26</v>
      </c>
      <c r="B44" s="106" t="s">
        <v>98</v>
      </c>
      <c r="C44" s="7">
        <f t="shared" ref="C44:J44" si="29">SUM(C42:C43)</f>
        <v>411163</v>
      </c>
      <c r="D44" s="7">
        <f t="shared" si="29"/>
        <v>841067</v>
      </c>
      <c r="E44" s="7">
        <f t="shared" si="29"/>
        <v>1287690</v>
      </c>
      <c r="F44" s="7">
        <f t="shared" si="29"/>
        <v>1736860</v>
      </c>
      <c r="G44" s="7">
        <f t="shared" si="29"/>
        <v>436693</v>
      </c>
      <c r="H44" s="7">
        <f t="shared" si="29"/>
        <v>892946</v>
      </c>
      <c r="I44" s="7">
        <f t="shared" si="29"/>
        <v>1374062</v>
      </c>
      <c r="J44" s="7">
        <f t="shared" si="29"/>
        <v>1877894</v>
      </c>
      <c r="K44" s="7">
        <f>SUM(K42:K43)</f>
        <v>500331</v>
      </c>
      <c r="L44" s="7">
        <f>SUM(L42:L43)</f>
        <v>1084662.3746135801</v>
      </c>
      <c r="M44" s="7">
        <f>SUM(M42:M43)</f>
        <v>1789852</v>
      </c>
      <c r="N44" s="7">
        <f>SUM(N42:N43)</f>
        <v>2499387</v>
      </c>
      <c r="O44" s="7">
        <f>SUM(O42:O43)</f>
        <v>689636</v>
      </c>
      <c r="Q44" s="28"/>
      <c r="T44" s="162"/>
    </row>
    <row r="45" spans="1:28">
      <c r="A45" s="104" t="s">
        <v>1</v>
      </c>
      <c r="B45" s="104" t="s">
        <v>99</v>
      </c>
      <c r="C45" s="6">
        <v>196098</v>
      </c>
      <c r="D45" s="6">
        <v>392262</v>
      </c>
      <c r="E45" s="6">
        <v>593326</v>
      </c>
      <c r="F45" s="6">
        <v>799288</v>
      </c>
      <c r="G45" s="6">
        <v>209202</v>
      </c>
      <c r="H45" s="6">
        <v>414561</v>
      </c>
      <c r="I45" s="6">
        <v>619908</v>
      </c>
      <c r="J45" s="6">
        <v>824245</v>
      </c>
      <c r="K45" s="6">
        <v>201530</v>
      </c>
      <c r="L45" s="6">
        <v>422827</v>
      </c>
      <c r="M45" s="6">
        <v>661098</v>
      </c>
      <c r="N45" s="6">
        <v>899887</v>
      </c>
      <c r="O45" s="6">
        <v>247669</v>
      </c>
      <c r="Q45" s="28"/>
      <c r="T45" s="162"/>
    </row>
    <row r="46" spans="1:28">
      <c r="A46" s="104" t="s">
        <v>288</v>
      </c>
      <c r="B46" s="104" t="s">
        <v>100</v>
      </c>
      <c r="C46" s="6">
        <v>-29981</v>
      </c>
      <c r="D46" s="6">
        <v>-63627</v>
      </c>
      <c r="E46" s="6">
        <v>-99153</v>
      </c>
      <c r="F46" s="6">
        <v>-135735</v>
      </c>
      <c r="G46" s="6">
        <v>-36698</v>
      </c>
      <c r="H46" s="6">
        <v>-77974</v>
      </c>
      <c r="I46" s="6">
        <v>-120408</v>
      </c>
      <c r="J46" s="6">
        <v>-163176</v>
      </c>
      <c r="K46" s="6">
        <v>-38356</v>
      </c>
      <c r="L46" s="6">
        <v>-84628</v>
      </c>
      <c r="M46" s="6">
        <v>-144592</v>
      </c>
      <c r="N46" s="6">
        <v>-200734</v>
      </c>
      <c r="O46" s="6">
        <v>-53136</v>
      </c>
      <c r="Q46" s="28"/>
      <c r="T46" s="162"/>
    </row>
    <row r="47" spans="1:28">
      <c r="A47" s="106" t="s">
        <v>3</v>
      </c>
      <c r="B47" s="106" t="s">
        <v>101</v>
      </c>
      <c r="C47" s="7">
        <f t="shared" ref="C47:J47" si="30">SUM(C45:C46)</f>
        <v>166117</v>
      </c>
      <c r="D47" s="7">
        <f t="shared" si="30"/>
        <v>328635</v>
      </c>
      <c r="E47" s="7">
        <f t="shared" si="30"/>
        <v>494173</v>
      </c>
      <c r="F47" s="7">
        <f t="shared" si="30"/>
        <v>663553</v>
      </c>
      <c r="G47" s="7">
        <f t="shared" si="30"/>
        <v>172504</v>
      </c>
      <c r="H47" s="7">
        <f t="shared" si="30"/>
        <v>336587</v>
      </c>
      <c r="I47" s="7">
        <f t="shared" si="30"/>
        <v>499500</v>
      </c>
      <c r="J47" s="7">
        <f t="shared" si="30"/>
        <v>661069</v>
      </c>
      <c r="K47" s="7">
        <f>SUM(K45:K46)</f>
        <v>163174</v>
      </c>
      <c r="L47" s="7">
        <f>SUM(L45:L46)</f>
        <v>338199</v>
      </c>
      <c r="M47" s="7">
        <f>SUM(M45:M46)</f>
        <v>516506</v>
      </c>
      <c r="N47" s="7">
        <f>SUM(N45:N46)</f>
        <v>699153</v>
      </c>
      <c r="O47" s="7">
        <f>SUM(O45:O46)</f>
        <v>194533</v>
      </c>
      <c r="Q47" s="28"/>
    </row>
    <row r="48" spans="1:28">
      <c r="A48" s="104" t="s">
        <v>4</v>
      </c>
      <c r="B48" s="104" t="s">
        <v>102</v>
      </c>
      <c r="C48" s="6">
        <v>285</v>
      </c>
      <c r="D48" s="6">
        <v>2326</v>
      </c>
      <c r="E48" s="6">
        <v>2465</v>
      </c>
      <c r="F48" s="6">
        <v>2612</v>
      </c>
      <c r="G48" s="6">
        <v>149</v>
      </c>
      <c r="H48" s="6">
        <v>2224</v>
      </c>
      <c r="I48" s="6">
        <v>2405</v>
      </c>
      <c r="J48" s="6">
        <v>2601</v>
      </c>
      <c r="K48" s="6">
        <v>198</v>
      </c>
      <c r="L48" s="6">
        <v>2682</v>
      </c>
      <c r="M48" s="6">
        <v>2939</v>
      </c>
      <c r="N48" s="6">
        <v>3214</v>
      </c>
      <c r="O48" s="6">
        <v>243</v>
      </c>
      <c r="Q48" s="28"/>
      <c r="T48" s="162"/>
    </row>
    <row r="49" spans="1:20" ht="45.75" customHeight="1">
      <c r="A49" s="104" t="s">
        <v>289</v>
      </c>
      <c r="B49" s="104" t="s">
        <v>290</v>
      </c>
      <c r="C49" s="6">
        <v>332</v>
      </c>
      <c r="D49" s="6">
        <v>4181</v>
      </c>
      <c r="E49" s="6">
        <v>9219</v>
      </c>
      <c r="F49" s="6">
        <v>25288</v>
      </c>
      <c r="G49" s="6">
        <v>3160</v>
      </c>
      <c r="H49" s="6">
        <v>8599</v>
      </c>
      <c r="I49" s="6">
        <v>15677</v>
      </c>
      <c r="J49" s="6">
        <v>18897</v>
      </c>
      <c r="K49" s="6">
        <v>14921</v>
      </c>
      <c r="L49" s="6">
        <v>29304</v>
      </c>
      <c r="M49" s="6">
        <v>34309</v>
      </c>
      <c r="N49" s="6">
        <v>38027</v>
      </c>
      <c r="O49" s="6">
        <v>13747</v>
      </c>
      <c r="Q49" s="28"/>
    </row>
    <row r="50" spans="1:20" ht="30.75" customHeight="1">
      <c r="A50" s="104" t="s">
        <v>291</v>
      </c>
      <c r="B50" s="104" t="s">
        <v>292</v>
      </c>
      <c r="C50" s="6">
        <v>-1020</v>
      </c>
      <c r="D50" s="6">
        <v>743</v>
      </c>
      <c r="E50" s="6">
        <v>908</v>
      </c>
      <c r="F50" s="6">
        <f>42580-F84</f>
        <v>2188</v>
      </c>
      <c r="G50" s="6">
        <v>8775</v>
      </c>
      <c r="H50" s="6">
        <v>12658</v>
      </c>
      <c r="I50" s="6">
        <v>15853</v>
      </c>
      <c r="J50" s="6">
        <f>81775-J84</f>
        <v>21356</v>
      </c>
      <c r="K50" s="6">
        <f>18075-K84</f>
        <v>1736</v>
      </c>
      <c r="L50" s="6">
        <f>31624-L84</f>
        <v>3489</v>
      </c>
      <c r="M50" s="6">
        <f>50728-M84</f>
        <v>4981</v>
      </c>
      <c r="N50" s="6">
        <f>68187-N84</f>
        <v>5719</v>
      </c>
      <c r="O50" s="6">
        <f>9734-O84</f>
        <v>-4135</v>
      </c>
      <c r="Q50" s="28"/>
      <c r="T50" s="162"/>
    </row>
    <row r="51" spans="1:20" ht="45" customHeight="1">
      <c r="A51" s="104" t="s">
        <v>403</v>
      </c>
      <c r="B51" s="104" t="s">
        <v>404</v>
      </c>
      <c r="C51" s="6">
        <v>0</v>
      </c>
      <c r="D51" s="6">
        <v>0</v>
      </c>
      <c r="E51" s="6">
        <v>0</v>
      </c>
      <c r="F51" s="6">
        <v>0</v>
      </c>
      <c r="G51" s="6">
        <f>-2283-G65</f>
        <v>853</v>
      </c>
      <c r="H51" s="6">
        <f>-828-H65</f>
        <v>7374</v>
      </c>
      <c r="I51" s="6">
        <f>-1784-I65</f>
        <v>11534</v>
      </c>
      <c r="J51" s="6">
        <f>-6375-J65</f>
        <v>13555</v>
      </c>
      <c r="K51" s="6">
        <f>4053-K65</f>
        <v>8982</v>
      </c>
      <c r="L51" s="6">
        <f>10532-L65</f>
        <v>15633</v>
      </c>
      <c r="M51" s="6">
        <f>52527-M65</f>
        <v>65428</v>
      </c>
      <c r="N51" s="6">
        <f>65703-N65</f>
        <v>89104</v>
      </c>
      <c r="O51" s="6">
        <f>-11679-O65</f>
        <v>0</v>
      </c>
      <c r="Q51" s="28"/>
      <c r="T51" s="162"/>
    </row>
    <row r="52" spans="1:20" ht="15.75" customHeight="1">
      <c r="A52" s="104" t="s">
        <v>293</v>
      </c>
      <c r="B52" s="104" t="s">
        <v>294</v>
      </c>
      <c r="C52" s="6">
        <v>-4072</v>
      </c>
      <c r="D52" s="6">
        <v>-8589</v>
      </c>
      <c r="E52" s="6">
        <v>-12707</v>
      </c>
      <c r="F52" s="6">
        <v>-20377</v>
      </c>
      <c r="G52" s="6">
        <v>-5429</v>
      </c>
      <c r="H52" s="6">
        <v>-9958</v>
      </c>
      <c r="I52" s="6">
        <v>-14907</v>
      </c>
      <c r="J52" s="6">
        <v>-20037</v>
      </c>
      <c r="K52" s="6">
        <v>-4821</v>
      </c>
      <c r="L52" s="6">
        <v>-9951</v>
      </c>
      <c r="M52" s="6">
        <v>-15638</v>
      </c>
      <c r="N52" s="6">
        <v>-19821</v>
      </c>
      <c r="O52" s="6">
        <v>-4514</v>
      </c>
      <c r="Q52" s="28"/>
    </row>
    <row r="53" spans="1:20">
      <c r="A53" s="104" t="s">
        <v>295</v>
      </c>
      <c r="B53" s="104" t="s">
        <v>104</v>
      </c>
      <c r="C53" s="6">
        <v>40068</v>
      </c>
      <c r="D53" s="6">
        <v>81486</v>
      </c>
      <c r="E53" s="6">
        <v>124893</v>
      </c>
      <c r="F53" s="6">
        <v>169518</v>
      </c>
      <c r="G53" s="6">
        <v>36975</v>
      </c>
      <c r="H53" s="6">
        <v>74043</v>
      </c>
      <c r="I53" s="6">
        <v>110486</v>
      </c>
      <c r="J53" s="6">
        <v>151620</v>
      </c>
      <c r="K53" s="6">
        <v>32903</v>
      </c>
      <c r="L53" s="6">
        <v>78677</v>
      </c>
      <c r="M53" s="6">
        <v>124140</v>
      </c>
      <c r="N53" s="6">
        <v>163147</v>
      </c>
      <c r="O53" s="6">
        <v>43684</v>
      </c>
      <c r="Q53" s="28"/>
      <c r="T53" s="162"/>
    </row>
    <row r="54" spans="1:20">
      <c r="A54" s="104" t="s">
        <v>6</v>
      </c>
      <c r="B54" s="104" t="s">
        <v>296</v>
      </c>
      <c r="C54" s="6">
        <v>25458</v>
      </c>
      <c r="D54" s="6">
        <v>36438</v>
      </c>
      <c r="E54" s="6">
        <v>57362</v>
      </c>
      <c r="F54" s="6">
        <v>69909</v>
      </c>
      <c r="G54" s="6">
        <v>13733</v>
      </c>
      <c r="H54" s="6">
        <v>24891</v>
      </c>
      <c r="I54" s="6">
        <v>34633</v>
      </c>
      <c r="J54" s="6">
        <v>50710</v>
      </c>
      <c r="K54" s="6">
        <v>39518</v>
      </c>
      <c r="L54" s="6">
        <v>51665</v>
      </c>
      <c r="M54" s="6">
        <v>80131</v>
      </c>
      <c r="N54" s="6">
        <v>97582</v>
      </c>
      <c r="O54" s="6">
        <v>12593</v>
      </c>
      <c r="Q54" s="28"/>
      <c r="T54" s="162"/>
    </row>
    <row r="55" spans="1:20">
      <c r="A55" s="104" t="s">
        <v>11</v>
      </c>
      <c r="B55" s="104" t="s">
        <v>297</v>
      </c>
      <c r="C55" s="6">
        <v>-15466</v>
      </c>
      <c r="D55" s="6">
        <v>-28508</v>
      </c>
      <c r="E55" s="6">
        <v>-48600</v>
      </c>
      <c r="F55" s="6">
        <v>-77950</v>
      </c>
      <c r="G55" s="6">
        <v>-10986</v>
      </c>
      <c r="H55" s="6">
        <v>-24058</v>
      </c>
      <c r="I55" s="6">
        <v>-34346</v>
      </c>
      <c r="J55" s="6">
        <v>-50028</v>
      </c>
      <c r="K55" s="6">
        <v>-16106</v>
      </c>
      <c r="L55" s="6">
        <v>-30919</v>
      </c>
      <c r="M55" s="6">
        <v>-85269</v>
      </c>
      <c r="N55" s="6">
        <v>-103989</v>
      </c>
      <c r="O55" s="6">
        <v>-25060</v>
      </c>
      <c r="Q55" s="28"/>
      <c r="T55" s="162"/>
    </row>
    <row r="56" spans="1:20">
      <c r="A56" s="106" t="s">
        <v>352</v>
      </c>
      <c r="B56" s="106" t="s">
        <v>349</v>
      </c>
      <c r="C56" s="7">
        <f t="shared" ref="C56:J56" si="31">SUM(C47:C55,C44)</f>
        <v>622865</v>
      </c>
      <c r="D56" s="7">
        <f t="shared" si="31"/>
        <v>1257779</v>
      </c>
      <c r="E56" s="7">
        <f t="shared" si="31"/>
        <v>1915403</v>
      </c>
      <c r="F56" s="7">
        <f t="shared" si="31"/>
        <v>2571601</v>
      </c>
      <c r="G56" s="7">
        <f t="shared" si="31"/>
        <v>656427</v>
      </c>
      <c r="H56" s="7">
        <f t="shared" si="31"/>
        <v>1325306</v>
      </c>
      <c r="I56" s="7">
        <f t="shared" si="31"/>
        <v>2014897</v>
      </c>
      <c r="J56" s="7">
        <f t="shared" si="31"/>
        <v>2727637</v>
      </c>
      <c r="K56" s="7">
        <f>SUM(K47:K55,K44)</f>
        <v>740836</v>
      </c>
      <c r="L56" s="7">
        <f>SUM(L47:L55,L44)</f>
        <v>1563441.3746135801</v>
      </c>
      <c r="M56" s="7">
        <f>SUM(M47:M55,M44)</f>
        <v>2517379</v>
      </c>
      <c r="N56" s="7">
        <f>SUM(N47:N55,N44)</f>
        <v>3471523</v>
      </c>
      <c r="O56" s="7">
        <f>SUM(O47:O55,O44)</f>
        <v>920727</v>
      </c>
      <c r="Q56" s="157"/>
      <c r="R56" s="69"/>
      <c r="S56" s="69"/>
      <c r="T56" s="157"/>
    </row>
    <row r="57" spans="1:20">
      <c r="A57" s="104" t="s">
        <v>298</v>
      </c>
      <c r="B57" s="104" t="s">
        <v>299</v>
      </c>
      <c r="C57" s="6">
        <v>-301331</v>
      </c>
      <c r="D57" s="6">
        <v>-580809</v>
      </c>
      <c r="E57" s="6">
        <v>-858329</v>
      </c>
      <c r="F57" s="6">
        <v>-1149723</v>
      </c>
      <c r="G57" s="6">
        <v>-316822</v>
      </c>
      <c r="H57" s="6">
        <v>-605603</v>
      </c>
      <c r="I57" s="6">
        <v>-908373</v>
      </c>
      <c r="J57" s="6">
        <v>-1213765</v>
      </c>
      <c r="K57" s="6">
        <v>-351056</v>
      </c>
      <c r="L57" s="6">
        <v>-682988</v>
      </c>
      <c r="M57" s="6">
        <v>-1109436</v>
      </c>
      <c r="N57" s="6">
        <v>-1545183</v>
      </c>
      <c r="O57" s="6">
        <v>-464566</v>
      </c>
      <c r="Q57" s="28"/>
      <c r="T57" s="162"/>
    </row>
    <row r="58" spans="1:20">
      <c r="A58" s="104" t="s">
        <v>300</v>
      </c>
      <c r="B58" s="104" t="s">
        <v>301</v>
      </c>
      <c r="C58" s="8">
        <v>-13119</v>
      </c>
      <c r="D58" s="8">
        <v>-26859</v>
      </c>
      <c r="E58" s="8">
        <v>-39854</v>
      </c>
      <c r="F58" s="8">
        <v>-52971</v>
      </c>
      <c r="G58" s="8">
        <v>-13409</v>
      </c>
      <c r="H58" s="8">
        <v>-26615</v>
      </c>
      <c r="I58" s="8">
        <v>-39869</v>
      </c>
      <c r="J58" s="8">
        <v>-54227</v>
      </c>
      <c r="K58" s="8">
        <v>-33412</v>
      </c>
      <c r="L58" s="8">
        <v>-73039</v>
      </c>
      <c r="M58" s="8">
        <v>-126661</v>
      </c>
      <c r="N58" s="8">
        <v>-180872</v>
      </c>
      <c r="O58" s="8">
        <v>-53340</v>
      </c>
      <c r="Q58" s="28"/>
      <c r="T58" s="162"/>
    </row>
    <row r="59" spans="1:20">
      <c r="A59" s="106" t="s">
        <v>353</v>
      </c>
      <c r="B59" s="106" t="s">
        <v>354</v>
      </c>
      <c r="C59" s="7">
        <f t="shared" ref="C59:J59" si="32">SUM(C57:C58)</f>
        <v>-314450</v>
      </c>
      <c r="D59" s="7">
        <f t="shared" si="32"/>
        <v>-607668</v>
      </c>
      <c r="E59" s="7">
        <f t="shared" si="32"/>
        <v>-898183</v>
      </c>
      <c r="F59" s="7">
        <f t="shared" si="32"/>
        <v>-1202694</v>
      </c>
      <c r="G59" s="7">
        <f t="shared" si="32"/>
        <v>-330231</v>
      </c>
      <c r="H59" s="7">
        <f t="shared" si="32"/>
        <v>-632218</v>
      </c>
      <c r="I59" s="7">
        <f t="shared" si="32"/>
        <v>-948242</v>
      </c>
      <c r="J59" s="7">
        <f t="shared" si="32"/>
        <v>-1267992</v>
      </c>
      <c r="K59" s="7">
        <f>SUM(K57:K58)</f>
        <v>-384468</v>
      </c>
      <c r="L59" s="7">
        <f>SUM(L57:L58)</f>
        <v>-756027</v>
      </c>
      <c r="M59" s="7">
        <f>SUM(M57:M58)</f>
        <v>-1236097</v>
      </c>
      <c r="N59" s="7">
        <f>SUM(N57:N58)</f>
        <v>-1726055</v>
      </c>
      <c r="O59" s="7">
        <f>SUM(O57:O58)</f>
        <v>-517906</v>
      </c>
      <c r="Q59" s="28"/>
      <c r="T59" s="162"/>
    </row>
    <row r="60" spans="1:20">
      <c r="A60" s="104" t="s">
        <v>8</v>
      </c>
      <c r="B60" s="104" t="s">
        <v>111</v>
      </c>
      <c r="C60" s="6">
        <v>-59501</v>
      </c>
      <c r="D60" s="6">
        <v>-122280</v>
      </c>
      <c r="E60" s="6">
        <v>-191456</v>
      </c>
      <c r="F60" s="6">
        <v>-254159</v>
      </c>
      <c r="G60" s="6">
        <v>-47651</v>
      </c>
      <c r="H60" s="6">
        <v>-97789</v>
      </c>
      <c r="I60" s="6">
        <v>-149835</v>
      </c>
      <c r="J60" s="6">
        <v>-201967</v>
      </c>
      <c r="K60" s="6">
        <v>-63094</v>
      </c>
      <c r="L60" s="6">
        <v>-217180</v>
      </c>
      <c r="M60" s="6">
        <v>-342178</v>
      </c>
      <c r="N60" s="6">
        <v>-402743</v>
      </c>
      <c r="O60" s="6">
        <v>-121565</v>
      </c>
      <c r="Q60" s="28"/>
      <c r="T60" s="162"/>
    </row>
    <row r="61" spans="1:20" s="69" customFormat="1">
      <c r="A61" s="129" t="s">
        <v>530</v>
      </c>
      <c r="B61" s="129" t="s">
        <v>529</v>
      </c>
      <c r="C61" s="6"/>
      <c r="D61" s="6"/>
      <c r="E61" s="6"/>
      <c r="F61" s="6"/>
      <c r="G61" s="6"/>
      <c r="H61" s="6"/>
      <c r="I61" s="6"/>
      <c r="J61" s="6"/>
      <c r="K61" s="6"/>
      <c r="L61" s="6"/>
      <c r="M61" s="6"/>
      <c r="N61" s="6"/>
      <c r="O61" s="6">
        <v>-60000</v>
      </c>
      <c r="Q61" s="157"/>
      <c r="R61" s="53"/>
      <c r="S61" s="53"/>
      <c r="T61" s="158"/>
    </row>
    <row r="62" spans="1:20">
      <c r="A62" s="104" t="s">
        <v>9</v>
      </c>
      <c r="B62" s="104" t="s">
        <v>112</v>
      </c>
      <c r="C62" s="6">
        <v>-230</v>
      </c>
      <c r="D62" s="6">
        <v>-421</v>
      </c>
      <c r="E62" s="6">
        <v>-943</v>
      </c>
      <c r="F62" s="6">
        <v>-1199</v>
      </c>
      <c r="G62" s="6">
        <v>-38</v>
      </c>
      <c r="H62" s="6">
        <v>-26</v>
      </c>
      <c r="I62" s="6">
        <v>-820</v>
      </c>
      <c r="J62" s="6">
        <v>-509</v>
      </c>
      <c r="K62" s="6">
        <v>-647</v>
      </c>
      <c r="L62" s="6">
        <v>-1300</v>
      </c>
      <c r="M62" s="6">
        <v>-2305</v>
      </c>
      <c r="N62" s="6">
        <v>-1193</v>
      </c>
      <c r="O62" s="6">
        <v>-1764</v>
      </c>
      <c r="Q62" s="28"/>
      <c r="T62" s="162"/>
    </row>
    <row r="63" spans="1:20" s="69" customFormat="1" ht="30.75" customHeight="1">
      <c r="A63" s="104" t="s">
        <v>444</v>
      </c>
      <c r="B63" s="104" t="s">
        <v>443</v>
      </c>
      <c r="C63" s="6"/>
      <c r="D63" s="6"/>
      <c r="E63" s="6"/>
      <c r="F63" s="6"/>
      <c r="G63" s="6"/>
      <c r="H63" s="6"/>
      <c r="I63" s="6"/>
      <c r="J63" s="6"/>
      <c r="K63" s="6"/>
      <c r="L63" s="6"/>
      <c r="M63" s="6"/>
      <c r="N63" s="6">
        <v>-223134</v>
      </c>
      <c r="O63" s="6">
        <v>-55325</v>
      </c>
      <c r="Q63" s="28"/>
      <c r="R63" s="55"/>
      <c r="S63" s="55"/>
      <c r="T63" s="162"/>
    </row>
    <row r="64" spans="1:20">
      <c r="A64" s="104" t="s">
        <v>302</v>
      </c>
      <c r="B64" s="104" t="s">
        <v>303</v>
      </c>
      <c r="C64" s="6">
        <v>0</v>
      </c>
      <c r="D64" s="6">
        <v>0</v>
      </c>
      <c r="E64" s="6">
        <v>0</v>
      </c>
      <c r="F64" s="6">
        <v>0</v>
      </c>
      <c r="G64" s="6">
        <v>-4299</v>
      </c>
      <c r="H64" s="6">
        <v>-7363</v>
      </c>
      <c r="I64" s="6">
        <v>-10187</v>
      </c>
      <c r="J64" s="6">
        <v>-14157</v>
      </c>
      <c r="K64" s="6">
        <v>-3666</v>
      </c>
      <c r="L64" s="6">
        <v>-6635</v>
      </c>
      <c r="M64" s="6">
        <v>-9187</v>
      </c>
      <c r="N64" s="6">
        <v>-11663</v>
      </c>
      <c r="O64" s="6">
        <v>-1949</v>
      </c>
      <c r="Q64" s="28"/>
    </row>
    <row r="65" spans="1:27" ht="24">
      <c r="A65" s="104" t="s">
        <v>405</v>
      </c>
      <c r="B65" s="104" t="s">
        <v>406</v>
      </c>
      <c r="C65" s="6">
        <v>0</v>
      </c>
      <c r="D65" s="6">
        <v>0</v>
      </c>
      <c r="E65" s="6">
        <v>0</v>
      </c>
      <c r="F65" s="6">
        <v>0</v>
      </c>
      <c r="G65" s="6">
        <v>-3136</v>
      </c>
      <c r="H65" s="6">
        <v>-8202</v>
      </c>
      <c r="I65" s="6">
        <v>-13318</v>
      </c>
      <c r="J65" s="6">
        <v>-19930</v>
      </c>
      <c r="K65" s="6">
        <v>-4929</v>
      </c>
      <c r="L65" s="6">
        <v>-5101</v>
      </c>
      <c r="M65" s="6">
        <v>-12901</v>
      </c>
      <c r="N65" s="6">
        <v>-23401</v>
      </c>
      <c r="O65" s="6">
        <v>-11679</v>
      </c>
      <c r="Q65" s="28"/>
      <c r="T65" s="162"/>
    </row>
    <row r="66" spans="1:27">
      <c r="A66" s="106" t="s">
        <v>304</v>
      </c>
      <c r="B66" s="106" t="s">
        <v>113</v>
      </c>
      <c r="C66" s="7">
        <f t="shared" ref="C66:O66" si="33">SUM(C60:C65,C59,C56)</f>
        <v>248684</v>
      </c>
      <c r="D66" s="7">
        <f t="shared" si="33"/>
        <v>527410</v>
      </c>
      <c r="E66" s="7">
        <f t="shared" si="33"/>
        <v>824821</v>
      </c>
      <c r="F66" s="7">
        <f t="shared" si="33"/>
        <v>1113549</v>
      </c>
      <c r="G66" s="7">
        <f t="shared" si="33"/>
        <v>271072</v>
      </c>
      <c r="H66" s="7">
        <f t="shared" si="33"/>
        <v>579708</v>
      </c>
      <c r="I66" s="7">
        <f t="shared" si="33"/>
        <v>892495</v>
      </c>
      <c r="J66" s="7">
        <f t="shared" si="33"/>
        <v>1223082</v>
      </c>
      <c r="K66" s="7">
        <f t="shared" si="33"/>
        <v>284032</v>
      </c>
      <c r="L66" s="7">
        <f t="shared" si="33"/>
        <v>577198.37461358006</v>
      </c>
      <c r="M66" s="7">
        <f t="shared" si="33"/>
        <v>914711</v>
      </c>
      <c r="N66" s="7">
        <f t="shared" si="33"/>
        <v>1083334</v>
      </c>
      <c r="O66" s="7">
        <f t="shared" si="33"/>
        <v>150539</v>
      </c>
      <c r="T66" s="162"/>
    </row>
    <row r="67" spans="1:27">
      <c r="A67" s="104" t="s">
        <v>305</v>
      </c>
      <c r="B67" s="104" t="s">
        <v>306</v>
      </c>
      <c r="C67" s="6">
        <v>0</v>
      </c>
      <c r="D67" s="6">
        <v>0</v>
      </c>
      <c r="E67" s="6">
        <v>0</v>
      </c>
      <c r="F67" s="6">
        <v>0</v>
      </c>
      <c r="G67" s="6">
        <v>0</v>
      </c>
      <c r="H67" s="6">
        <v>0</v>
      </c>
      <c r="I67" s="6">
        <v>0</v>
      </c>
      <c r="J67" s="6">
        <v>0</v>
      </c>
      <c r="K67" s="6">
        <v>0</v>
      </c>
      <c r="L67" s="6">
        <v>0</v>
      </c>
      <c r="M67" s="6">
        <v>0</v>
      </c>
      <c r="N67" s="6">
        <v>0</v>
      </c>
      <c r="O67" s="6">
        <v>0</v>
      </c>
      <c r="T67" s="162"/>
    </row>
    <row r="68" spans="1:27">
      <c r="A68" s="104" t="s">
        <v>247</v>
      </c>
      <c r="B68" s="104" t="s">
        <v>248</v>
      </c>
      <c r="C68" s="6">
        <v>-47230</v>
      </c>
      <c r="D68" s="6">
        <v>-93680</v>
      </c>
      <c r="E68" s="6">
        <v>-140056</v>
      </c>
      <c r="F68" s="6">
        <v>-188326</v>
      </c>
      <c r="G68" s="6">
        <v>-52178</v>
      </c>
      <c r="H68" s="6">
        <v>-100656</v>
      </c>
      <c r="I68" s="6">
        <v>-148525</v>
      </c>
      <c r="J68" s="6">
        <v>-198477</v>
      </c>
      <c r="K68" s="6">
        <v>-51358</v>
      </c>
      <c r="L68" s="6">
        <v>-110008</v>
      </c>
      <c r="M68" s="6">
        <v>-178857</v>
      </c>
      <c r="N68" s="6">
        <v>-247991</v>
      </c>
      <c r="O68" s="6">
        <v>-72741</v>
      </c>
      <c r="T68" s="162"/>
    </row>
    <row r="69" spans="1:27" ht="24">
      <c r="A69" s="106" t="s">
        <v>307</v>
      </c>
      <c r="B69" s="106" t="s">
        <v>308</v>
      </c>
      <c r="C69" s="7">
        <f t="shared" ref="C69:J69" si="34">SUM(C66:C68)</f>
        <v>201454</v>
      </c>
      <c r="D69" s="7">
        <f t="shared" si="34"/>
        <v>433730</v>
      </c>
      <c r="E69" s="7">
        <f t="shared" si="34"/>
        <v>684765</v>
      </c>
      <c r="F69" s="7">
        <f t="shared" si="34"/>
        <v>925223</v>
      </c>
      <c r="G69" s="7">
        <f t="shared" si="34"/>
        <v>218894</v>
      </c>
      <c r="H69" s="7">
        <f t="shared" si="34"/>
        <v>479052</v>
      </c>
      <c r="I69" s="7">
        <f t="shared" si="34"/>
        <v>743970</v>
      </c>
      <c r="J69" s="7">
        <f t="shared" si="34"/>
        <v>1024605</v>
      </c>
      <c r="K69" s="7">
        <f>SUM(K66:K68)</f>
        <v>232674</v>
      </c>
      <c r="L69" s="7">
        <f>SUM(L66:L68)</f>
        <v>467190.37461358006</v>
      </c>
      <c r="M69" s="7">
        <f>SUM(M66:M68)</f>
        <v>735854</v>
      </c>
      <c r="N69" s="7">
        <f>SUM(N66:N68)</f>
        <v>835343</v>
      </c>
      <c r="O69" s="7">
        <f>SUM(O66:O68)</f>
        <v>77798</v>
      </c>
      <c r="R69" s="90"/>
      <c r="S69" s="94"/>
      <c r="T69" s="94"/>
    </row>
    <row r="70" spans="1:27" ht="12.5" thickBot="1">
      <c r="A70" s="107" t="s">
        <v>15</v>
      </c>
      <c r="B70" s="107" t="s">
        <v>117</v>
      </c>
      <c r="C70" s="9">
        <v>-60956</v>
      </c>
      <c r="D70" s="9">
        <v>-119634</v>
      </c>
      <c r="E70" s="9">
        <v>-183185</v>
      </c>
      <c r="F70" s="9">
        <v>-243996</v>
      </c>
      <c r="G70" s="9">
        <v>-63618</v>
      </c>
      <c r="H70" s="9">
        <v>-131107</v>
      </c>
      <c r="I70" s="9">
        <v>-195836</v>
      </c>
      <c r="J70" s="9">
        <v>-263954</v>
      </c>
      <c r="K70" s="9">
        <v>-72708</v>
      </c>
      <c r="L70" s="9">
        <v>-133567</v>
      </c>
      <c r="M70" s="9">
        <v>-202091</v>
      </c>
      <c r="N70" s="9">
        <v>-274611</v>
      </c>
      <c r="O70" s="9">
        <v>-59669</v>
      </c>
      <c r="R70" s="91"/>
      <c r="S70" s="91"/>
      <c r="T70" s="219"/>
    </row>
    <row r="71" spans="1:27" ht="12.5" thickBot="1">
      <c r="A71" s="108" t="s">
        <v>309</v>
      </c>
      <c r="B71" s="108" t="s">
        <v>116</v>
      </c>
      <c r="C71" s="2">
        <f t="shared" ref="C71:I71" si="35">+C70+C69</f>
        <v>140498</v>
      </c>
      <c r="D71" s="2">
        <f t="shared" si="35"/>
        <v>314096</v>
      </c>
      <c r="E71" s="2">
        <f t="shared" si="35"/>
        <v>501580</v>
      </c>
      <c r="F71" s="2">
        <f t="shared" si="35"/>
        <v>681227</v>
      </c>
      <c r="G71" s="2">
        <f t="shared" si="35"/>
        <v>155276</v>
      </c>
      <c r="H71" s="2">
        <f t="shared" si="35"/>
        <v>347945</v>
      </c>
      <c r="I71" s="2">
        <f t="shared" si="35"/>
        <v>548134</v>
      </c>
      <c r="J71" s="2">
        <f t="shared" ref="J71:O71" si="36">+J70+J69</f>
        <v>760651</v>
      </c>
      <c r="K71" s="2">
        <f t="shared" si="36"/>
        <v>159966</v>
      </c>
      <c r="L71" s="2">
        <f t="shared" si="36"/>
        <v>333623.37461358006</v>
      </c>
      <c r="M71" s="2">
        <f t="shared" si="36"/>
        <v>533763</v>
      </c>
      <c r="N71" s="2">
        <f t="shared" si="36"/>
        <v>560732</v>
      </c>
      <c r="O71" s="2">
        <f t="shared" si="36"/>
        <v>18129</v>
      </c>
      <c r="R71" s="1"/>
      <c r="S71" s="1"/>
      <c r="T71" s="1"/>
    </row>
    <row r="72" spans="1:27">
      <c r="A72" s="105" t="s">
        <v>17</v>
      </c>
      <c r="B72" s="105" t="s">
        <v>92</v>
      </c>
      <c r="C72" s="10"/>
      <c r="D72" s="10"/>
      <c r="E72" s="10"/>
      <c r="F72" s="10"/>
      <c r="G72" s="10"/>
      <c r="H72" s="10"/>
      <c r="I72" s="10"/>
      <c r="J72" s="10"/>
      <c r="K72" s="10"/>
      <c r="L72" s="10"/>
      <c r="M72" s="10"/>
      <c r="N72" s="10"/>
      <c r="O72" s="10"/>
    </row>
    <row r="73" spans="1:27">
      <c r="A73" s="163" t="s">
        <v>18</v>
      </c>
      <c r="B73" s="163" t="s">
        <v>310</v>
      </c>
      <c r="C73" s="6">
        <v>140498</v>
      </c>
      <c r="D73" s="6">
        <f t="shared" ref="D73:J73" si="37">+D71</f>
        <v>314096</v>
      </c>
      <c r="E73" s="6">
        <f t="shared" si="37"/>
        <v>501580</v>
      </c>
      <c r="F73" s="6">
        <f t="shared" si="37"/>
        <v>681227</v>
      </c>
      <c r="G73" s="6">
        <f t="shared" si="37"/>
        <v>155276</v>
      </c>
      <c r="H73" s="6">
        <f t="shared" si="37"/>
        <v>347945</v>
      </c>
      <c r="I73" s="6">
        <f t="shared" si="37"/>
        <v>548134</v>
      </c>
      <c r="J73" s="6">
        <f t="shared" si="37"/>
        <v>760651</v>
      </c>
      <c r="K73" s="6">
        <f>+K71</f>
        <v>159966</v>
      </c>
      <c r="L73" s="6">
        <f>+L71</f>
        <v>333623.37461358006</v>
      </c>
      <c r="M73" s="6">
        <f>+M71</f>
        <v>533763</v>
      </c>
      <c r="N73" s="6">
        <f>+N71</f>
        <v>560732</v>
      </c>
      <c r="O73" s="6">
        <f>+O71</f>
        <v>18129</v>
      </c>
    </row>
    <row r="74" spans="1:27">
      <c r="A74" s="163" t="s">
        <v>19</v>
      </c>
      <c r="B74" s="163" t="s">
        <v>311</v>
      </c>
      <c r="C74" s="6">
        <v>0</v>
      </c>
      <c r="D74" s="6">
        <v>0</v>
      </c>
      <c r="E74" s="6">
        <v>0</v>
      </c>
      <c r="F74" s="6">
        <v>0</v>
      </c>
      <c r="G74" s="6">
        <v>0</v>
      </c>
      <c r="H74" s="6">
        <v>0</v>
      </c>
      <c r="I74" s="6">
        <v>0</v>
      </c>
      <c r="J74" s="6">
        <v>0</v>
      </c>
      <c r="K74" s="6">
        <v>0</v>
      </c>
      <c r="L74" s="6">
        <v>0</v>
      </c>
      <c r="M74" s="6">
        <v>0</v>
      </c>
      <c r="N74" s="6">
        <v>0</v>
      </c>
      <c r="O74" s="6">
        <v>0</v>
      </c>
    </row>
    <row r="75" spans="1:27" ht="12.5" thickBot="1">
      <c r="A75" s="164" t="s">
        <v>20</v>
      </c>
      <c r="B75" s="164" t="s">
        <v>312</v>
      </c>
      <c r="C75" s="165">
        <v>1213116777</v>
      </c>
      <c r="D75" s="165">
        <v>1213116777</v>
      </c>
      <c r="E75" s="165">
        <v>1213116777</v>
      </c>
      <c r="F75" s="165">
        <v>1213116777</v>
      </c>
      <c r="G75" s="165">
        <v>1213116777</v>
      </c>
      <c r="H75" s="165">
        <v>1213116777</v>
      </c>
      <c r="I75" s="165">
        <v>1213116777</v>
      </c>
      <c r="J75" s="165">
        <v>1213116777</v>
      </c>
      <c r="K75" s="165">
        <v>1213116777</v>
      </c>
      <c r="L75" s="165">
        <v>1213116777</v>
      </c>
      <c r="M75" s="165">
        <v>1213116777</v>
      </c>
      <c r="N75" s="165">
        <v>1213116777</v>
      </c>
      <c r="O75" s="165">
        <v>1213116777</v>
      </c>
      <c r="T75" s="162"/>
      <c r="U75" s="94"/>
      <c r="V75" s="94"/>
      <c r="W75" s="94"/>
      <c r="X75" s="94"/>
      <c r="Y75" s="94"/>
      <c r="Z75" s="94"/>
      <c r="AA75" s="94"/>
    </row>
    <row r="76" spans="1:27" ht="12.5" thickBot="1">
      <c r="A76" s="166" t="s">
        <v>313</v>
      </c>
      <c r="B76" s="166" t="s">
        <v>96</v>
      </c>
      <c r="C76" s="167">
        <f t="shared" ref="C76:J76" si="38">+C73*1000/C75</f>
        <v>0.11581572579306601</v>
      </c>
      <c r="D76" s="167">
        <f t="shared" si="38"/>
        <v>0.25891654122264274</v>
      </c>
      <c r="E76" s="167">
        <f t="shared" si="38"/>
        <v>0.41346390513235809</v>
      </c>
      <c r="F76" s="167">
        <f t="shared" si="38"/>
        <v>0.56155105008493345</v>
      </c>
      <c r="G76" s="167">
        <f t="shared" si="38"/>
        <v>0.12799757034437584</v>
      </c>
      <c r="H76" s="167">
        <f t="shared" si="38"/>
        <v>0.28681904874851138</v>
      </c>
      <c r="I76" s="167">
        <f t="shared" si="38"/>
        <v>0.45183943573471824</v>
      </c>
      <c r="J76" s="167">
        <f t="shared" si="38"/>
        <v>0.62702207604536331</v>
      </c>
      <c r="K76" s="167">
        <f>+K73*1000/K75</f>
        <v>0.13186364497867298</v>
      </c>
      <c r="L76" s="167">
        <f>+L73*1000/L75</f>
        <v>0.27501340426485588</v>
      </c>
      <c r="M76" s="167">
        <f>+M73*1000/M75</f>
        <v>0.43999309062395403</v>
      </c>
      <c r="N76" s="167">
        <f>+N73*1000/N75</f>
        <v>0.46222425625558716</v>
      </c>
      <c r="O76" s="167">
        <f>+O73*1000/O75</f>
        <v>1.4944150755900394E-2</v>
      </c>
      <c r="U76" s="91"/>
      <c r="V76" s="91"/>
      <c r="W76" s="91"/>
      <c r="X76" s="91"/>
      <c r="Y76" s="91"/>
      <c r="Z76" s="91"/>
      <c r="AA76" s="91"/>
    </row>
    <row r="77" spans="1:27">
      <c r="A77" s="1" t="s">
        <v>505</v>
      </c>
      <c r="B77" s="1" t="s">
        <v>502</v>
      </c>
      <c r="U77" s="1"/>
      <c r="V77" s="1"/>
      <c r="W77" s="1"/>
      <c r="X77" s="1"/>
      <c r="Y77" s="1"/>
      <c r="Z77" s="1"/>
      <c r="AA77" s="1"/>
    </row>
    <row r="78" spans="1:27">
      <c r="A78" s="1" t="s">
        <v>507</v>
      </c>
      <c r="B78" s="1" t="s">
        <v>503</v>
      </c>
    </row>
    <row r="79" spans="1:27">
      <c r="A79" s="1" t="s">
        <v>407</v>
      </c>
      <c r="B79" s="1" t="s">
        <v>504</v>
      </c>
    </row>
    <row r="80" spans="1:27">
      <c r="A80" s="69"/>
      <c r="B80" s="53"/>
      <c r="C80" s="95"/>
      <c r="D80" s="95"/>
      <c r="E80" s="95"/>
      <c r="F80" s="95"/>
      <c r="G80" s="95"/>
      <c r="H80" s="95"/>
      <c r="I80" s="95"/>
      <c r="J80" s="95"/>
      <c r="K80" s="95"/>
      <c r="L80" s="95"/>
      <c r="M80" s="95"/>
      <c r="N80" s="95"/>
      <c r="O80" s="95"/>
    </row>
    <row r="81" spans="1:27" ht="15.5">
      <c r="A81" s="83" t="s">
        <v>402</v>
      </c>
      <c r="B81" s="53"/>
      <c r="C81" s="96"/>
      <c r="D81" s="96"/>
      <c r="E81" s="96"/>
      <c r="F81" s="96"/>
      <c r="G81" s="96"/>
      <c r="H81" s="96"/>
      <c r="I81" s="96"/>
      <c r="J81" s="96"/>
      <c r="K81" s="96"/>
      <c r="L81" s="96"/>
      <c r="M81" s="96"/>
      <c r="N81" s="96"/>
      <c r="O81" s="96"/>
    </row>
    <row r="82" spans="1:27" ht="15.5">
      <c r="A82" s="83" t="s">
        <v>492</v>
      </c>
      <c r="B82" s="53"/>
      <c r="C82" s="96"/>
      <c r="D82" s="96"/>
      <c r="E82" s="96"/>
      <c r="F82" s="96"/>
      <c r="G82" s="96"/>
      <c r="H82" s="96"/>
      <c r="I82" s="96"/>
      <c r="J82" s="96"/>
      <c r="K82" s="96"/>
      <c r="L82" s="96"/>
      <c r="M82" s="96"/>
      <c r="N82" s="96"/>
      <c r="O82" s="96"/>
    </row>
    <row r="83" spans="1:27">
      <c r="A83" s="196" t="s">
        <v>23</v>
      </c>
      <c r="B83" s="196" t="s">
        <v>172</v>
      </c>
      <c r="C83" s="96"/>
      <c r="D83" s="96"/>
      <c r="E83" s="96"/>
      <c r="F83" s="96"/>
      <c r="G83" s="96"/>
      <c r="H83" s="96"/>
      <c r="I83" s="96"/>
      <c r="J83" s="96"/>
      <c r="K83" s="96"/>
      <c r="L83" s="96"/>
      <c r="M83" s="96"/>
      <c r="N83" s="96"/>
      <c r="O83" s="96"/>
    </row>
    <row r="84" spans="1:27" ht="24">
      <c r="A84" s="111" t="s">
        <v>411</v>
      </c>
      <c r="B84" s="111" t="s">
        <v>410</v>
      </c>
      <c r="C84" s="6">
        <v>17675</v>
      </c>
      <c r="D84" s="6">
        <v>26810</v>
      </c>
      <c r="E84" s="6">
        <v>35152</v>
      </c>
      <c r="F84" s="6">
        <v>40392</v>
      </c>
      <c r="G84" s="6">
        <v>8402</v>
      </c>
      <c r="H84" s="6">
        <v>24115</v>
      </c>
      <c r="I84" s="6">
        <v>42255</v>
      </c>
      <c r="J84" s="6">
        <v>60419</v>
      </c>
      <c r="K84" s="6">
        <v>16339</v>
      </c>
      <c r="L84" s="6">
        <v>28135</v>
      </c>
      <c r="M84" s="6">
        <v>45747</v>
      </c>
      <c r="N84" s="6">
        <v>62468</v>
      </c>
      <c r="O84" s="6">
        <v>13869</v>
      </c>
    </row>
    <row r="85" spans="1:27">
      <c r="A85" s="111" t="s">
        <v>264</v>
      </c>
      <c r="B85" s="111" t="s">
        <v>271</v>
      </c>
      <c r="C85" s="12">
        <v>576350</v>
      </c>
      <c r="D85" s="12">
        <v>1169772</v>
      </c>
      <c r="E85" s="12">
        <v>1783024</v>
      </c>
      <c r="F85" s="12">
        <v>2398938</v>
      </c>
      <c r="G85" s="12">
        <v>609595</v>
      </c>
      <c r="H85" s="12">
        <v>1234043</v>
      </c>
      <c r="I85" s="12">
        <v>1881425</v>
      </c>
      <c r="J85" s="12">
        <v>2561919</v>
      </c>
      <c r="K85" s="12">
        <v>694559</v>
      </c>
      <c r="L85" s="12">
        <v>1487497.3746135801</v>
      </c>
      <c r="M85" s="12">
        <v>2427665</v>
      </c>
      <c r="N85" s="12">
        <v>3374836</v>
      </c>
      <c r="O85" s="12">
        <v>927731</v>
      </c>
    </row>
    <row r="86" spans="1:27">
      <c r="A86" s="111" t="s">
        <v>265</v>
      </c>
      <c r="B86" s="111" t="s">
        <v>270</v>
      </c>
      <c r="C86" s="12">
        <v>393488</v>
      </c>
      <c r="D86" s="12">
        <v>814257</v>
      </c>
      <c r="E86" s="12">
        <v>1252538</v>
      </c>
      <c r="F86" s="12">
        <v>1696468</v>
      </c>
      <c r="G86" s="12">
        <v>428291</v>
      </c>
      <c r="H86" s="12">
        <v>868831</v>
      </c>
      <c r="I86" s="12">
        <v>1331807</v>
      </c>
      <c r="J86" s="12">
        <v>1817475</v>
      </c>
      <c r="K86" s="12">
        <v>483992</v>
      </c>
      <c r="L86" s="12">
        <v>1056527.3746135801</v>
      </c>
      <c r="M86" s="12">
        <v>1744105</v>
      </c>
      <c r="N86" s="12">
        <v>2436919</v>
      </c>
      <c r="O86" s="12">
        <v>675767</v>
      </c>
    </row>
    <row r="87" spans="1:27" ht="24">
      <c r="A87" s="111" t="s">
        <v>351</v>
      </c>
      <c r="B87" s="111" t="s">
        <v>350</v>
      </c>
      <c r="C87" s="12">
        <v>16655</v>
      </c>
      <c r="D87" s="12">
        <v>27553</v>
      </c>
      <c r="E87" s="12">
        <v>36060</v>
      </c>
      <c r="F87" s="12">
        <v>42580</v>
      </c>
      <c r="G87" s="12">
        <v>17177</v>
      </c>
      <c r="H87" s="12">
        <v>36773</v>
      </c>
      <c r="I87" s="12">
        <v>58108</v>
      </c>
      <c r="J87" s="12">
        <v>81775</v>
      </c>
      <c r="K87" s="12">
        <v>18075</v>
      </c>
      <c r="L87" s="12">
        <v>31624</v>
      </c>
      <c r="M87" s="12">
        <v>50728</v>
      </c>
      <c r="N87" s="12">
        <v>68187</v>
      </c>
      <c r="O87" s="12">
        <v>9734</v>
      </c>
    </row>
    <row r="88" spans="1:27" ht="48">
      <c r="A88" s="111" t="s">
        <v>397</v>
      </c>
      <c r="B88" s="111" t="s">
        <v>398</v>
      </c>
      <c r="C88" s="160" t="s">
        <v>399</v>
      </c>
      <c r="D88" s="160" t="s">
        <v>399</v>
      </c>
      <c r="E88" s="160" t="s">
        <v>399</v>
      </c>
      <c r="F88" s="160" t="s">
        <v>399</v>
      </c>
      <c r="G88" s="12">
        <v>-2283</v>
      </c>
      <c r="H88" s="12">
        <v>-828</v>
      </c>
      <c r="I88" s="12">
        <v>-1784</v>
      </c>
      <c r="J88" s="12">
        <v>-6375</v>
      </c>
      <c r="K88" s="12">
        <v>4053</v>
      </c>
      <c r="L88" s="12">
        <v>10532</v>
      </c>
      <c r="M88" s="12">
        <f>52527</f>
        <v>52527</v>
      </c>
      <c r="N88" s="12">
        <v>65703</v>
      </c>
      <c r="O88" s="12">
        <v>-11679</v>
      </c>
      <c r="R88" s="141"/>
      <c r="X88" s="141"/>
      <c r="Y88" s="141"/>
      <c r="Z88" s="141"/>
      <c r="AA88" s="141"/>
    </row>
    <row r="89" spans="1:27">
      <c r="A89" s="161" t="s">
        <v>408</v>
      </c>
      <c r="B89" s="161" t="s">
        <v>409</v>
      </c>
      <c r="C89" s="160" t="s">
        <v>399</v>
      </c>
      <c r="D89" s="160" t="s">
        <v>399</v>
      </c>
      <c r="E89" s="160" t="s">
        <v>399</v>
      </c>
      <c r="F89" s="160" t="s">
        <v>399</v>
      </c>
      <c r="G89" s="12">
        <v>653291</v>
      </c>
      <c r="H89" s="12">
        <v>1317104</v>
      </c>
      <c r="I89" s="12">
        <v>2001579</v>
      </c>
      <c r="J89" s="12">
        <v>2707707</v>
      </c>
      <c r="K89" s="12">
        <f>+K65+K56</f>
        <v>735907</v>
      </c>
      <c r="L89" s="12">
        <f>+L65+L56</f>
        <v>1558340.3746135801</v>
      </c>
      <c r="M89" s="12">
        <f>+M65+M56</f>
        <v>2504478</v>
      </c>
      <c r="N89" s="12">
        <f>+N65+N56</f>
        <v>3448122</v>
      </c>
      <c r="O89" s="12">
        <f>+O65+O56</f>
        <v>909048</v>
      </c>
    </row>
  </sheetData>
  <pageMargins left="0.25" right="0.25" top="0.75" bottom="0.75" header="0.3" footer="0.3"/>
  <pageSetup paperSize="9" scale="4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M61"/>
  <sheetViews>
    <sheetView zoomScale="90" zoomScaleNormal="90" workbookViewId="0">
      <pane xSplit="2" ySplit="4" topLeftCell="K5" activePane="bottomRight" state="frozenSplit"/>
      <selection pane="topRight" activeCell="C1" sqref="C1"/>
      <selection pane="bottomLeft" activeCell="A4" sqref="A4"/>
      <selection pane="bottomRight"/>
    </sheetView>
  </sheetViews>
  <sheetFormatPr defaultRowHeight="14.5" outlineLevelCol="1"/>
  <cols>
    <col min="1" max="1" width="35.9140625" style="100" customWidth="1"/>
    <col min="2" max="2" width="43.25" style="100" customWidth="1"/>
    <col min="3" max="3" width="10.9140625" style="100" hidden="1" customWidth="1" outlineLevel="1"/>
    <col min="4" max="4" width="11.08203125" style="100" hidden="1" customWidth="1" outlineLevel="1"/>
    <col min="5" max="7" width="10.9140625" style="100" hidden="1" customWidth="1" outlineLevel="1"/>
    <col min="8" max="8" width="10.9140625" style="100" customWidth="1" collapsed="1"/>
    <col min="9" max="9" width="10.33203125" style="100" customWidth="1"/>
    <col min="10" max="10" width="10.9140625" style="100" customWidth="1"/>
    <col min="11" max="11" width="10.75" style="100" customWidth="1"/>
    <col min="12" max="15" width="10.9140625" style="100" customWidth="1"/>
    <col min="16" max="16" width="11.9140625" style="100" customWidth="1"/>
    <col min="17" max="17" width="3.33203125" style="100" customWidth="1"/>
    <col min="18" max="18" width="47.33203125" style="100" customWidth="1"/>
    <col min="19" max="19" width="14" style="100" customWidth="1"/>
    <col min="20" max="22" width="11.08203125" style="100" customWidth="1"/>
    <col min="23" max="23" width="10.9140625" style="100" customWidth="1"/>
    <col min="24" max="24" width="10.75" customWidth="1"/>
    <col min="25" max="25" width="12.33203125" customWidth="1"/>
    <col min="26" max="26" width="10.9140625" customWidth="1"/>
    <col min="27" max="30" width="10.75" customWidth="1"/>
    <col min="31" max="31" width="4.25" customWidth="1"/>
    <col min="32" max="32" width="7.08203125" customWidth="1"/>
  </cols>
  <sheetData>
    <row r="1" spans="1:38" ht="15.5">
      <c r="A1" s="103" t="s">
        <v>361</v>
      </c>
      <c r="G1"/>
      <c r="H1"/>
      <c r="I1"/>
      <c r="J1"/>
      <c r="K1"/>
      <c r="L1"/>
      <c r="M1"/>
      <c r="AI1" s="145"/>
      <c r="AJ1" s="145"/>
    </row>
    <row r="2" spans="1:38" ht="15.5">
      <c r="A2" s="103" t="s">
        <v>493</v>
      </c>
      <c r="B2" s="101"/>
      <c r="C2" s="101"/>
      <c r="D2" s="101"/>
      <c r="E2" s="101"/>
      <c r="G2"/>
      <c r="H2"/>
      <c r="I2"/>
      <c r="J2"/>
      <c r="K2"/>
      <c r="L2"/>
      <c r="M2"/>
      <c r="AI2" s="145"/>
      <c r="AJ2" s="145"/>
    </row>
    <row r="3" spans="1:38" s="211" customFormat="1">
      <c r="A3" s="187" t="s">
        <v>514</v>
      </c>
      <c r="B3" s="187" t="s">
        <v>172</v>
      </c>
      <c r="C3" s="209"/>
      <c r="D3" s="209"/>
      <c r="E3" s="209"/>
      <c r="F3" s="209"/>
      <c r="G3" s="209"/>
      <c r="H3" s="209"/>
      <c r="I3" s="209"/>
      <c r="J3" s="209"/>
      <c r="K3" s="209"/>
      <c r="L3" s="209"/>
      <c r="M3" s="209"/>
      <c r="N3" s="209"/>
      <c r="O3" s="209"/>
      <c r="P3" s="209"/>
      <c r="Q3" s="210"/>
      <c r="R3" s="210"/>
      <c r="S3" s="210"/>
      <c r="T3" s="210"/>
      <c r="U3" s="210"/>
      <c r="V3" s="210"/>
      <c r="W3" s="210"/>
      <c r="AI3" s="212"/>
      <c r="AJ3" s="212"/>
    </row>
    <row r="4" spans="1:38" s="211" customFormat="1" ht="24">
      <c r="A4" s="209" t="s">
        <v>388</v>
      </c>
      <c r="B4" s="209" t="s">
        <v>487</v>
      </c>
      <c r="C4" s="209"/>
      <c r="D4" s="205" t="s">
        <v>262</v>
      </c>
      <c r="E4" s="205" t="s">
        <v>273</v>
      </c>
      <c r="F4" s="205" t="s">
        <v>276</v>
      </c>
      <c r="G4" s="205" t="s">
        <v>360</v>
      </c>
      <c r="H4" s="205" t="s">
        <v>285</v>
      </c>
      <c r="I4" s="205" t="s">
        <v>366</v>
      </c>
      <c r="J4" s="205" t="s">
        <v>414</v>
      </c>
      <c r="K4" s="205" t="s">
        <v>419</v>
      </c>
      <c r="L4" s="205" t="s">
        <v>423</v>
      </c>
      <c r="M4" s="205" t="s">
        <v>434</v>
      </c>
      <c r="N4" s="205" t="s">
        <v>439</v>
      </c>
      <c r="O4" s="205" t="s">
        <v>445</v>
      </c>
      <c r="P4" s="205" t="s">
        <v>527</v>
      </c>
      <c r="Q4" s="210"/>
      <c r="R4" s="210"/>
      <c r="S4" s="210"/>
      <c r="T4" s="210"/>
      <c r="U4" s="210"/>
      <c r="V4" s="210"/>
      <c r="W4" s="210"/>
      <c r="X4" s="210"/>
      <c r="Y4" s="210"/>
      <c r="AK4" s="212"/>
      <c r="AL4" s="212"/>
    </row>
    <row r="5" spans="1:38" ht="24.5" thickBot="1">
      <c r="A5" s="152" t="s">
        <v>381</v>
      </c>
      <c r="B5" s="133" t="s">
        <v>372</v>
      </c>
      <c r="C5" s="133"/>
      <c r="D5" s="151">
        <f t="shared" ref="D5:L5" si="0">+D6</f>
        <v>81289</v>
      </c>
      <c r="E5" s="151">
        <f t="shared" si="0"/>
        <v>79460</v>
      </c>
      <c r="F5" s="151">
        <f t="shared" si="0"/>
        <v>84785</v>
      </c>
      <c r="G5" s="151">
        <f t="shared" si="0"/>
        <v>82616</v>
      </c>
      <c r="H5" s="151">
        <f t="shared" si="0"/>
        <v>88336</v>
      </c>
      <c r="I5" s="151">
        <f t="shared" si="0"/>
        <v>85846</v>
      </c>
      <c r="J5" s="151">
        <f t="shared" si="0"/>
        <v>83353</v>
      </c>
      <c r="K5" s="151">
        <f t="shared" si="0"/>
        <v>94862</v>
      </c>
      <c r="L5" s="151">
        <f t="shared" si="0"/>
        <v>105093</v>
      </c>
      <c r="M5" s="151">
        <f>+M6</f>
        <v>94020</v>
      </c>
      <c r="N5" s="151">
        <f>+N6</f>
        <v>94659</v>
      </c>
      <c r="O5" s="151">
        <f>+O6</f>
        <v>100961</v>
      </c>
      <c r="P5" s="151">
        <f>+P6</f>
        <v>102120</v>
      </c>
      <c r="X5" s="100"/>
      <c r="Y5" s="100"/>
      <c r="AK5" s="145"/>
      <c r="AL5" s="145"/>
    </row>
    <row r="6" spans="1:38" ht="15" thickBot="1">
      <c r="A6" s="147" t="s">
        <v>45</v>
      </c>
      <c r="B6" s="136" t="s">
        <v>321</v>
      </c>
      <c r="C6" s="136"/>
      <c r="D6" s="153">
        <v>81289</v>
      </c>
      <c r="E6" s="153">
        <v>79460</v>
      </c>
      <c r="F6" s="153">
        <v>84785</v>
      </c>
      <c r="G6" s="153">
        <v>82616</v>
      </c>
      <c r="H6" s="153">
        <v>88336</v>
      </c>
      <c r="I6" s="153">
        <v>85846</v>
      </c>
      <c r="J6" s="153">
        <f>+J37-I37</f>
        <v>83353</v>
      </c>
      <c r="K6" s="153">
        <f>+K37-J37</f>
        <v>94862</v>
      </c>
      <c r="L6" s="153">
        <f>+L37</f>
        <v>105093</v>
      </c>
      <c r="M6" s="153">
        <f>+M37-L6</f>
        <v>94020</v>
      </c>
      <c r="N6" s="153">
        <f>+N37-M37</f>
        <v>94659</v>
      </c>
      <c r="O6" s="153">
        <f>+O37-N37</f>
        <v>100961</v>
      </c>
      <c r="P6" s="153">
        <f>+P37</f>
        <v>102120</v>
      </c>
      <c r="X6" s="100"/>
      <c r="Y6" s="100"/>
      <c r="AK6" s="145"/>
      <c r="AL6" s="145"/>
    </row>
    <row r="7" spans="1:38" ht="24.5" thickBot="1">
      <c r="A7" s="152" t="s">
        <v>382</v>
      </c>
      <c r="B7" s="133" t="s">
        <v>373</v>
      </c>
      <c r="C7" s="133"/>
      <c r="D7" s="151">
        <f>+D8+D9+D10+D11+D12+D13</f>
        <v>492984</v>
      </c>
      <c r="E7" s="151">
        <f t="shared" ref="E7:K7" si="1">+E8+E9+E10+E11+E12+E13</f>
        <v>511542</v>
      </c>
      <c r="F7" s="151">
        <f t="shared" si="1"/>
        <v>526480</v>
      </c>
      <c r="G7" s="151">
        <f t="shared" si="1"/>
        <v>530193</v>
      </c>
      <c r="H7" s="151">
        <f t="shared" si="1"/>
        <v>493873</v>
      </c>
      <c r="I7" s="151">
        <f t="shared" si="1"/>
        <v>510110</v>
      </c>
      <c r="J7" s="151">
        <f t="shared" si="1"/>
        <v>533648</v>
      </c>
      <c r="K7" s="151">
        <f t="shared" si="1"/>
        <v>555227</v>
      </c>
      <c r="L7" s="151">
        <f>+L8+L9+L10+L11+L12+L13</f>
        <v>558697</v>
      </c>
      <c r="M7" s="151">
        <f>+M8+M9+M10+M11+M12+M13</f>
        <v>669088</v>
      </c>
      <c r="N7" s="151">
        <f>+N8+N9+N10+N11+N12+N13</f>
        <v>812995</v>
      </c>
      <c r="O7" s="151">
        <f>+O8+O9+O10+O11+O12+O13</f>
        <v>812127</v>
      </c>
      <c r="P7" s="151">
        <f>+P8+P9+P10+P11+P12+P13</f>
        <v>793067</v>
      </c>
      <c r="X7" s="100"/>
      <c r="Y7" s="100"/>
      <c r="AK7" s="145"/>
      <c r="AL7" s="145"/>
    </row>
    <row r="8" spans="1:38" ht="15" thickBot="1">
      <c r="A8" s="147" t="s">
        <v>362</v>
      </c>
      <c r="B8" s="136" t="s">
        <v>374</v>
      </c>
      <c r="C8" s="136"/>
      <c r="D8" s="153">
        <v>6492</v>
      </c>
      <c r="E8" s="153">
        <v>6815</v>
      </c>
      <c r="F8" s="153">
        <v>7060</v>
      </c>
      <c r="G8" s="153">
        <v>6855</v>
      </c>
      <c r="H8" s="153">
        <v>2589</v>
      </c>
      <c r="I8" s="153">
        <v>2618</v>
      </c>
      <c r="J8" s="153">
        <f t="shared" ref="J8:K13" si="2">+J39-I39</f>
        <v>2622</v>
      </c>
      <c r="K8" s="153">
        <f t="shared" si="2"/>
        <v>2699</v>
      </c>
      <c r="L8" s="153">
        <f t="shared" ref="L8:L13" si="3">+L39</f>
        <v>2860</v>
      </c>
      <c r="M8" s="153">
        <f t="shared" ref="M8:M13" si="4">+M39-L8</f>
        <v>3078</v>
      </c>
      <c r="N8" s="153">
        <f t="shared" ref="N8:O13" si="5">+N39-M39</f>
        <v>3342</v>
      </c>
      <c r="O8" s="153">
        <f t="shared" si="5"/>
        <v>3499</v>
      </c>
      <c r="P8" s="153">
        <f t="shared" ref="P8:P13" si="6">+P39</f>
        <v>3637</v>
      </c>
      <c r="X8" s="100"/>
      <c r="Y8" s="100"/>
      <c r="AK8" s="145"/>
      <c r="AL8" s="145"/>
    </row>
    <row r="9" spans="1:38" ht="15" thickBot="1">
      <c r="A9" s="147" t="s">
        <v>35</v>
      </c>
      <c r="B9" s="136" t="s">
        <v>324</v>
      </c>
      <c r="C9" s="136"/>
      <c r="D9" s="153">
        <v>406659</v>
      </c>
      <c r="E9" s="153">
        <v>423463</v>
      </c>
      <c r="F9" s="153">
        <v>440855</v>
      </c>
      <c r="G9" s="153">
        <v>448449</v>
      </c>
      <c r="H9" s="153">
        <v>421510</v>
      </c>
      <c r="I9" s="153">
        <v>441297</v>
      </c>
      <c r="J9" s="153">
        <f t="shared" si="2"/>
        <v>461593</v>
      </c>
      <c r="K9" s="153">
        <f t="shared" si="2"/>
        <v>482604</v>
      </c>
      <c r="L9" s="153">
        <f t="shared" si="3"/>
        <v>488624</v>
      </c>
      <c r="M9" s="153">
        <f t="shared" si="4"/>
        <v>590783</v>
      </c>
      <c r="N9" s="153">
        <f t="shared" si="5"/>
        <v>737234</v>
      </c>
      <c r="O9" s="153">
        <f t="shared" si="5"/>
        <v>736406</v>
      </c>
      <c r="P9" s="153">
        <f t="shared" si="6"/>
        <v>718199</v>
      </c>
      <c r="X9" s="100"/>
      <c r="Y9" s="100"/>
      <c r="AK9" s="145"/>
      <c r="AL9" s="145"/>
    </row>
    <row r="10" spans="1:38" ht="15" thickBot="1">
      <c r="A10" s="147" t="s">
        <v>45</v>
      </c>
      <c r="B10" s="136" t="s">
        <v>321</v>
      </c>
      <c r="C10" s="136"/>
      <c r="D10" s="153">
        <v>0</v>
      </c>
      <c r="E10" s="153">
        <v>0</v>
      </c>
      <c r="F10" s="153">
        <v>0</v>
      </c>
      <c r="G10" s="153">
        <v>0</v>
      </c>
      <c r="H10" s="153">
        <v>364</v>
      </c>
      <c r="I10" s="153">
        <v>367</v>
      </c>
      <c r="J10" s="153">
        <f t="shared" si="2"/>
        <v>381</v>
      </c>
      <c r="K10" s="153">
        <f t="shared" si="2"/>
        <v>381</v>
      </c>
      <c r="L10" s="153">
        <f t="shared" si="3"/>
        <v>344</v>
      </c>
      <c r="M10" s="153">
        <f t="shared" si="4"/>
        <v>345</v>
      </c>
      <c r="N10" s="153">
        <f t="shared" si="5"/>
        <v>429</v>
      </c>
      <c r="O10" s="153">
        <f t="shared" si="5"/>
        <v>410</v>
      </c>
      <c r="P10" s="153">
        <f t="shared" si="6"/>
        <v>371</v>
      </c>
      <c r="X10" s="100"/>
      <c r="Y10" s="100"/>
      <c r="AK10" s="145"/>
      <c r="AL10" s="145"/>
    </row>
    <row r="11" spans="1:38" ht="24.5" thickBot="1">
      <c r="A11" s="147" t="s">
        <v>363</v>
      </c>
      <c r="B11" s="136" t="s">
        <v>375</v>
      </c>
      <c r="C11" s="136"/>
      <c r="D11" s="153">
        <v>151</v>
      </c>
      <c r="E11" s="153">
        <v>469</v>
      </c>
      <c r="F11" s="153">
        <v>226</v>
      </c>
      <c r="G11" s="153">
        <v>713</v>
      </c>
      <c r="H11" s="153">
        <v>537</v>
      </c>
      <c r="I11" s="153">
        <v>322</v>
      </c>
      <c r="J11" s="153">
        <f t="shared" si="2"/>
        <v>277</v>
      </c>
      <c r="K11" s="153">
        <f t="shared" si="2"/>
        <v>644</v>
      </c>
      <c r="L11" s="153">
        <f t="shared" si="3"/>
        <v>460</v>
      </c>
      <c r="M11" s="153">
        <f t="shared" si="4"/>
        <v>1473</v>
      </c>
      <c r="N11" s="153">
        <f t="shared" si="5"/>
        <v>541</v>
      </c>
      <c r="O11" s="153">
        <f t="shared" si="5"/>
        <v>559</v>
      </c>
      <c r="P11" s="153">
        <f t="shared" si="6"/>
        <v>522</v>
      </c>
      <c r="X11" s="100"/>
      <c r="Y11" s="100"/>
    </row>
    <row r="12" spans="1:38" ht="15" thickBot="1">
      <c r="A12" s="147" t="s">
        <v>383</v>
      </c>
      <c r="B12" s="136" t="s">
        <v>376</v>
      </c>
      <c r="C12" s="136"/>
      <c r="D12" s="153">
        <v>1895</v>
      </c>
      <c r="E12" s="153">
        <v>2078</v>
      </c>
      <c r="F12" s="153">
        <v>1778</v>
      </c>
      <c r="G12" s="153">
        <v>1267</v>
      </c>
      <c r="H12" s="153">
        <v>939</v>
      </c>
      <c r="I12" s="153">
        <v>1357</v>
      </c>
      <c r="J12" s="153">
        <f t="shared" si="2"/>
        <v>1974</v>
      </c>
      <c r="K12" s="153">
        <f t="shared" si="2"/>
        <v>1315</v>
      </c>
      <c r="L12" s="153">
        <f t="shared" si="3"/>
        <v>1544</v>
      </c>
      <c r="M12" s="153">
        <f t="shared" si="4"/>
        <v>6203</v>
      </c>
      <c r="N12" s="153">
        <f t="shared" si="5"/>
        <v>2645</v>
      </c>
      <c r="O12" s="153">
        <f t="shared" si="5"/>
        <v>2226</v>
      </c>
      <c r="P12" s="153">
        <f t="shared" si="6"/>
        <v>5925</v>
      </c>
      <c r="X12" s="100"/>
      <c r="Y12" s="100"/>
    </row>
    <row r="13" spans="1:38" ht="15" thickBot="1">
      <c r="A13" s="168" t="s">
        <v>34</v>
      </c>
      <c r="B13" s="171" t="s">
        <v>328</v>
      </c>
      <c r="C13" s="171"/>
      <c r="D13" s="169">
        <v>77787</v>
      </c>
      <c r="E13" s="169">
        <v>78717</v>
      </c>
      <c r="F13" s="169">
        <v>76561</v>
      </c>
      <c r="G13" s="169">
        <v>72909</v>
      </c>
      <c r="H13" s="169">
        <v>67934</v>
      </c>
      <c r="I13" s="169">
        <v>64149</v>
      </c>
      <c r="J13" s="169">
        <f t="shared" si="2"/>
        <v>66801</v>
      </c>
      <c r="K13" s="169">
        <f t="shared" si="2"/>
        <v>67584</v>
      </c>
      <c r="L13" s="169">
        <f t="shared" si="3"/>
        <v>64865</v>
      </c>
      <c r="M13" s="169">
        <f t="shared" si="4"/>
        <v>67206</v>
      </c>
      <c r="N13" s="169">
        <f t="shared" si="5"/>
        <v>68804</v>
      </c>
      <c r="O13" s="169">
        <f t="shared" si="5"/>
        <v>69027</v>
      </c>
      <c r="P13" s="169">
        <f t="shared" si="6"/>
        <v>64413</v>
      </c>
      <c r="X13" s="100"/>
      <c r="Y13" s="100"/>
    </row>
    <row r="14" spans="1:38" ht="15" thickBot="1">
      <c r="A14" s="152" t="s">
        <v>384</v>
      </c>
      <c r="B14" s="133" t="s">
        <v>377</v>
      </c>
      <c r="C14" s="133"/>
      <c r="D14" s="151">
        <f t="shared" ref="D14:I14" si="7">+D15+D16</f>
        <v>2077</v>
      </c>
      <c r="E14" s="151">
        <f t="shared" si="7"/>
        <v>2420</v>
      </c>
      <c r="F14" s="151">
        <f t="shared" si="7"/>
        <v>1987</v>
      </c>
      <c r="G14" s="151">
        <f t="shared" si="7"/>
        <v>3105</v>
      </c>
      <c r="H14" s="151">
        <f t="shared" si="7"/>
        <v>27386</v>
      </c>
      <c r="I14" s="151">
        <f t="shared" si="7"/>
        <v>28492</v>
      </c>
      <c r="J14" s="151">
        <f t="shared" ref="J14:O14" si="8">+J15+J16</f>
        <v>30380</v>
      </c>
      <c r="K14" s="151">
        <f t="shared" si="8"/>
        <v>30406</v>
      </c>
      <c r="L14" s="151">
        <f t="shared" si="8"/>
        <v>30769</v>
      </c>
      <c r="M14" s="151">
        <f t="shared" si="8"/>
        <v>29830</v>
      </c>
      <c r="N14" s="151">
        <f t="shared" si="8"/>
        <v>32514</v>
      </c>
      <c r="O14" s="151">
        <f t="shared" si="8"/>
        <v>34083</v>
      </c>
      <c r="P14" s="151">
        <f>+P15+P16</f>
        <v>32544</v>
      </c>
      <c r="X14" s="100"/>
      <c r="Y14" s="100"/>
    </row>
    <row r="15" spans="1:38" ht="36.5" thickBot="1">
      <c r="A15" s="147" t="s">
        <v>385</v>
      </c>
      <c r="B15" s="136" t="s">
        <v>378</v>
      </c>
      <c r="C15" s="136"/>
      <c r="D15" s="153">
        <v>0</v>
      </c>
      <c r="E15" s="153">
        <v>0</v>
      </c>
      <c r="F15" s="153">
        <v>0</v>
      </c>
      <c r="G15" s="153">
        <v>0</v>
      </c>
      <c r="H15" s="153">
        <v>23170</v>
      </c>
      <c r="I15" s="153">
        <v>23648</v>
      </c>
      <c r="J15" s="153">
        <f>+J46-I46</f>
        <v>25234</v>
      </c>
      <c r="K15" s="153">
        <f>+K46-J46</f>
        <v>26553</v>
      </c>
      <c r="L15" s="153">
        <f>+L46</f>
        <v>26000</v>
      </c>
      <c r="M15" s="153">
        <f>+M46-L15</f>
        <v>27284</v>
      </c>
      <c r="N15" s="153">
        <f>+N46-M46</f>
        <v>29949</v>
      </c>
      <c r="O15" s="153">
        <f>+O46-N46</f>
        <v>31432</v>
      </c>
      <c r="P15" s="153">
        <f>+P46</f>
        <v>30128</v>
      </c>
      <c r="X15" s="100"/>
      <c r="Y15" s="100"/>
    </row>
    <row r="16" spans="1:38" ht="24.5" thickBot="1">
      <c r="A16" s="147" t="s">
        <v>386</v>
      </c>
      <c r="B16" s="136" t="s">
        <v>379</v>
      </c>
      <c r="C16" s="136"/>
      <c r="D16" s="153">
        <v>2077</v>
      </c>
      <c r="E16" s="153">
        <v>2420</v>
      </c>
      <c r="F16" s="153">
        <v>1987</v>
      </c>
      <c r="G16" s="153">
        <v>3105</v>
      </c>
      <c r="H16" s="153">
        <v>4216</v>
      </c>
      <c r="I16" s="153">
        <v>4844</v>
      </c>
      <c r="J16" s="153">
        <f>+J47-I47</f>
        <v>5146</v>
      </c>
      <c r="K16" s="153">
        <f>+K47-J47</f>
        <v>3853</v>
      </c>
      <c r="L16" s="153">
        <f>+L47</f>
        <v>4769</v>
      </c>
      <c r="M16" s="153">
        <f>+M47-L16</f>
        <v>2546</v>
      </c>
      <c r="N16" s="153">
        <f>+N47-M47</f>
        <v>2565</v>
      </c>
      <c r="O16" s="153">
        <f>+O47-N47</f>
        <v>2651</v>
      </c>
      <c r="P16" s="153">
        <f>+P47</f>
        <v>2416</v>
      </c>
      <c r="X16" s="100"/>
      <c r="Y16" s="100"/>
    </row>
    <row r="17" spans="1:25" ht="15" thickBot="1">
      <c r="A17" s="155" t="s">
        <v>387</v>
      </c>
      <c r="B17" s="135" t="s">
        <v>156</v>
      </c>
      <c r="C17" s="135"/>
      <c r="D17" s="154">
        <f t="shared" ref="D17:K17" si="9">+D14+D7+D5</f>
        <v>576350</v>
      </c>
      <c r="E17" s="154">
        <f t="shared" si="9"/>
        <v>593422</v>
      </c>
      <c r="F17" s="154">
        <f t="shared" si="9"/>
        <v>613252</v>
      </c>
      <c r="G17" s="154">
        <f t="shared" si="9"/>
        <v>615914</v>
      </c>
      <c r="H17" s="154">
        <f t="shared" si="9"/>
        <v>609595</v>
      </c>
      <c r="I17" s="154">
        <f t="shared" si="9"/>
        <v>624448</v>
      </c>
      <c r="J17" s="154">
        <f t="shared" si="9"/>
        <v>647381</v>
      </c>
      <c r="K17" s="154">
        <f t="shared" si="9"/>
        <v>680495</v>
      </c>
      <c r="L17" s="154">
        <f>+L14+L7+L5</f>
        <v>694559</v>
      </c>
      <c r="M17" s="154">
        <f>+M14+M7+M5</f>
        <v>792938</v>
      </c>
      <c r="N17" s="154">
        <f>+N14+N7+N5</f>
        <v>940168</v>
      </c>
      <c r="O17" s="154">
        <f>+O14+O7+O5</f>
        <v>947171</v>
      </c>
      <c r="P17" s="154">
        <f>+P14+P7+P5</f>
        <v>927731</v>
      </c>
      <c r="X17" s="100"/>
      <c r="Y17" s="100"/>
    </row>
    <row r="18" spans="1:25" ht="15" thickBot="1">
      <c r="B18"/>
      <c r="C18"/>
      <c r="D18"/>
      <c r="E18"/>
      <c r="F18"/>
      <c r="G18"/>
      <c r="H18"/>
      <c r="I18"/>
      <c r="J18"/>
      <c r="K18"/>
      <c r="L18"/>
      <c r="M18"/>
      <c r="N18"/>
      <c r="X18" s="100"/>
    </row>
    <row r="19" spans="1:25" s="211" customFormat="1" ht="24.5" thickBot="1">
      <c r="A19" s="213" t="s">
        <v>390</v>
      </c>
      <c r="B19" s="187" t="s">
        <v>489</v>
      </c>
      <c r="C19" s="187"/>
      <c r="D19" s="205" t="s">
        <v>262</v>
      </c>
      <c r="E19" s="205" t="s">
        <v>273</v>
      </c>
      <c r="F19" s="205" t="s">
        <v>276</v>
      </c>
      <c r="G19" s="205" t="s">
        <v>360</v>
      </c>
      <c r="H19" s="205" t="s">
        <v>285</v>
      </c>
      <c r="I19" s="205" t="s">
        <v>366</v>
      </c>
      <c r="J19" s="205" t="s">
        <v>414</v>
      </c>
      <c r="K19" s="205" t="s">
        <v>419</v>
      </c>
      <c r="L19" s="205" t="s">
        <v>423</v>
      </c>
      <c r="M19" s="205" t="s">
        <v>434</v>
      </c>
      <c r="N19" s="205" t="s">
        <v>439</v>
      </c>
      <c r="O19" s="205" t="s">
        <v>445</v>
      </c>
      <c r="P19" s="205" t="s">
        <v>527</v>
      </c>
      <c r="Q19" s="210"/>
      <c r="R19" s="210"/>
      <c r="S19" s="210"/>
      <c r="T19" s="210"/>
      <c r="U19" s="210"/>
      <c r="V19" s="210"/>
      <c r="W19" s="210"/>
      <c r="X19" s="210"/>
      <c r="Y19" s="210"/>
    </row>
    <row r="20" spans="1:25" ht="15" thickBot="1">
      <c r="A20" s="144" t="s">
        <v>335</v>
      </c>
      <c r="B20" s="130" t="s">
        <v>380</v>
      </c>
      <c r="C20" s="130"/>
      <c r="D20" s="142">
        <f>+D21+D22+D23+D24+D25+D27</f>
        <v>-182763</v>
      </c>
      <c r="E20" s="142">
        <f t="shared" ref="E20:K20" si="10">+E21+E22+E23+E24+E25+E27</f>
        <v>-172568</v>
      </c>
      <c r="F20" s="142">
        <f t="shared" si="10"/>
        <v>-174878</v>
      </c>
      <c r="G20" s="142">
        <f t="shared" si="10"/>
        <v>-171866</v>
      </c>
      <c r="H20" s="142">
        <f t="shared" si="10"/>
        <v>-181234</v>
      </c>
      <c r="I20" s="142">
        <f t="shared" si="10"/>
        <v>-183838</v>
      </c>
      <c r="J20" s="142">
        <f t="shared" si="10"/>
        <v>-184334</v>
      </c>
      <c r="K20" s="142">
        <f t="shared" si="10"/>
        <v>-194757</v>
      </c>
      <c r="L20" s="142">
        <f>+L21+L22+L23+L24+L25+L27+L26</f>
        <v>-210527</v>
      </c>
      <c r="M20" s="142">
        <f>+M21+M22+M23+M24+M25+M27+M26</f>
        <v>-220362</v>
      </c>
      <c r="N20" s="142">
        <f>+N21+N22+N23+N24+N25+N27+N26</f>
        <v>-252550</v>
      </c>
      <c r="O20" s="142">
        <f>+O21+O22+O23+O24+O25+O27+O26</f>
        <v>-254317</v>
      </c>
      <c r="P20" s="142">
        <f>+P21+P22+P23+P24+P25+P27+P26</f>
        <v>-251958</v>
      </c>
      <c r="X20" s="100"/>
      <c r="Y20" s="100"/>
    </row>
    <row r="21" spans="1:25" ht="24.5" thickBot="1">
      <c r="A21" s="147" t="s">
        <v>391</v>
      </c>
      <c r="B21" s="139" t="s">
        <v>338</v>
      </c>
      <c r="C21" s="139"/>
      <c r="D21" s="146">
        <v>-6393</v>
      </c>
      <c r="E21" s="146">
        <v>-7078</v>
      </c>
      <c r="F21" s="146">
        <v>-9007</v>
      </c>
      <c r="G21" s="146">
        <v>-6655</v>
      </c>
      <c r="H21" s="146">
        <v>-6313</v>
      </c>
      <c r="I21" s="146">
        <v>-3671</v>
      </c>
      <c r="J21" s="146">
        <f t="shared" ref="J21:K25" si="11">+J52-I52</f>
        <v>-5492</v>
      </c>
      <c r="K21" s="153">
        <f t="shared" si="11"/>
        <v>-6340</v>
      </c>
      <c r="L21" s="153">
        <f t="shared" ref="L21:L28" si="12">+L52</f>
        <v>-6709</v>
      </c>
      <c r="M21" s="153">
        <f t="shared" ref="M21:M28" si="13">+M52-L21</f>
        <v>-7769</v>
      </c>
      <c r="N21" s="153">
        <f t="shared" ref="N21:O28" si="14">+N52-M52</f>
        <v>-7659</v>
      </c>
      <c r="O21" s="153">
        <f t="shared" si="14"/>
        <v>-7287</v>
      </c>
      <c r="P21" s="153">
        <f t="shared" ref="P21:P28" si="15">+P52</f>
        <v>-6333</v>
      </c>
      <c r="X21" s="100"/>
      <c r="Y21" s="100"/>
    </row>
    <row r="22" spans="1:25" ht="15" thickBot="1">
      <c r="A22" s="147" t="s">
        <v>339</v>
      </c>
      <c r="B22" s="139" t="s">
        <v>129</v>
      </c>
      <c r="C22" s="139"/>
      <c r="D22" s="146">
        <v>-160720</v>
      </c>
      <c r="E22" s="146">
        <v>-153058</v>
      </c>
      <c r="F22" s="146">
        <v>-151913</v>
      </c>
      <c r="G22" s="146">
        <v>-150301</v>
      </c>
      <c r="H22" s="146">
        <v>-158741</v>
      </c>
      <c r="I22" s="146">
        <v>-164199</v>
      </c>
      <c r="J22" s="146">
        <f t="shared" si="11"/>
        <v>-162554</v>
      </c>
      <c r="K22" s="153">
        <f t="shared" si="11"/>
        <v>-174928</v>
      </c>
      <c r="L22" s="153">
        <f t="shared" si="12"/>
        <v>-182830</v>
      </c>
      <c r="M22" s="153">
        <f t="shared" si="13"/>
        <v>-188117</v>
      </c>
      <c r="N22" s="153">
        <f t="shared" si="14"/>
        <v>-216597</v>
      </c>
      <c r="O22" s="153">
        <f t="shared" si="14"/>
        <v>-219429</v>
      </c>
      <c r="P22" s="153">
        <f t="shared" si="15"/>
        <v>-215765</v>
      </c>
      <c r="X22" s="100"/>
      <c r="Y22" s="100"/>
    </row>
    <row r="23" spans="1:25" ht="15" thickBot="1">
      <c r="A23" s="147" t="s">
        <v>364</v>
      </c>
      <c r="B23" s="139" t="s">
        <v>376</v>
      </c>
      <c r="C23" s="139"/>
      <c r="D23" s="146">
        <v>-4225</v>
      </c>
      <c r="E23" s="146">
        <v>-2960</v>
      </c>
      <c r="F23" s="146">
        <v>-3740</v>
      </c>
      <c r="G23" s="146">
        <v>-3127</v>
      </c>
      <c r="H23" s="146">
        <v>-2117</v>
      </c>
      <c r="I23" s="146">
        <v>-2355</v>
      </c>
      <c r="J23" s="146">
        <f t="shared" si="11"/>
        <v>-4968</v>
      </c>
      <c r="K23" s="153">
        <f t="shared" si="11"/>
        <v>-2144</v>
      </c>
      <c r="L23" s="153">
        <f t="shared" si="12"/>
        <v>-2479</v>
      </c>
      <c r="M23" s="153">
        <f t="shared" si="13"/>
        <v>-794</v>
      </c>
      <c r="N23" s="153">
        <f t="shared" si="14"/>
        <v>-1141</v>
      </c>
      <c r="O23" s="153">
        <f t="shared" si="14"/>
        <v>-1583</v>
      </c>
      <c r="P23" s="153">
        <f t="shared" si="15"/>
        <v>-6302</v>
      </c>
      <c r="X23" s="100"/>
      <c r="Y23" s="100"/>
    </row>
    <row r="24" spans="1:25" ht="15" thickBot="1">
      <c r="A24" s="147" t="s">
        <v>340</v>
      </c>
      <c r="B24" s="139" t="s">
        <v>341</v>
      </c>
      <c r="C24" s="139"/>
      <c r="D24" s="146">
        <v>-8467</v>
      </c>
      <c r="E24" s="146">
        <v>-6566</v>
      </c>
      <c r="F24" s="146">
        <v>-7331</v>
      </c>
      <c r="G24" s="146">
        <v>-7313</v>
      </c>
      <c r="H24" s="146">
        <v>-6969</v>
      </c>
      <c r="I24" s="146">
        <v>-6453</v>
      </c>
      <c r="J24" s="146">
        <f t="shared" si="11"/>
        <v>-4122</v>
      </c>
      <c r="K24" s="153">
        <f t="shared" si="11"/>
        <v>-4141</v>
      </c>
      <c r="L24" s="153">
        <f t="shared" si="12"/>
        <v>-4125</v>
      </c>
      <c r="M24" s="153">
        <f t="shared" si="13"/>
        <v>-5715</v>
      </c>
      <c r="N24" s="153">
        <f t="shared" si="14"/>
        <v>-8329</v>
      </c>
      <c r="O24" s="153">
        <f t="shared" si="14"/>
        <v>-8016</v>
      </c>
      <c r="P24" s="153">
        <f t="shared" si="15"/>
        <v>-6045</v>
      </c>
      <c r="X24" s="100"/>
      <c r="Y24" s="100"/>
    </row>
    <row r="25" spans="1:25" ht="15" thickBot="1">
      <c r="A25" s="147" t="s">
        <v>48</v>
      </c>
      <c r="B25" s="139" t="s">
        <v>134</v>
      </c>
      <c r="C25" s="139"/>
      <c r="D25" s="146">
        <v>-2958</v>
      </c>
      <c r="E25" s="146">
        <v>-2906</v>
      </c>
      <c r="F25" s="146">
        <v>-2887</v>
      </c>
      <c r="G25" s="146">
        <v>-4470</v>
      </c>
      <c r="H25" s="146">
        <v>-7094</v>
      </c>
      <c r="I25" s="146">
        <v>-7160</v>
      </c>
      <c r="J25" s="146">
        <f t="shared" si="11"/>
        <v>-7198</v>
      </c>
      <c r="K25" s="153">
        <f t="shared" si="11"/>
        <v>-7204</v>
      </c>
      <c r="L25" s="153">
        <f t="shared" si="12"/>
        <v>-12733</v>
      </c>
      <c r="M25" s="153">
        <f t="shared" si="13"/>
        <v>-15861</v>
      </c>
      <c r="N25" s="153">
        <f t="shared" si="14"/>
        <v>-16569</v>
      </c>
      <c r="O25" s="153">
        <f t="shared" si="14"/>
        <v>-15773</v>
      </c>
      <c r="P25" s="153">
        <f t="shared" si="15"/>
        <v>-15586</v>
      </c>
      <c r="X25" s="100"/>
      <c r="Y25" s="100"/>
    </row>
    <row r="26" spans="1:25" ht="15" thickBot="1">
      <c r="A26" s="170" t="s">
        <v>425</v>
      </c>
      <c r="B26" s="172" t="s">
        <v>430</v>
      </c>
      <c r="C26" s="172"/>
      <c r="D26" s="173"/>
      <c r="E26" s="173"/>
      <c r="F26" s="173"/>
      <c r="G26" s="173"/>
      <c r="H26" s="174" t="s">
        <v>399</v>
      </c>
      <c r="I26" s="174" t="s">
        <v>399</v>
      </c>
      <c r="J26" s="174" t="s">
        <v>399</v>
      </c>
      <c r="K26" s="174" t="s">
        <v>399</v>
      </c>
      <c r="L26" s="169">
        <f t="shared" si="12"/>
        <v>-1651</v>
      </c>
      <c r="M26" s="169">
        <f t="shared" si="13"/>
        <v>-2017</v>
      </c>
      <c r="N26" s="169">
        <f t="shared" si="14"/>
        <v>-1979</v>
      </c>
      <c r="O26" s="169">
        <f t="shared" si="14"/>
        <v>-2229</v>
      </c>
      <c r="P26" s="169">
        <f t="shared" si="15"/>
        <v>-1927</v>
      </c>
      <c r="X26" s="100"/>
      <c r="Y26" s="100"/>
    </row>
    <row r="27" spans="1:25" ht="15" thickBot="1">
      <c r="A27" s="147" t="s">
        <v>34</v>
      </c>
      <c r="B27" s="139" t="s">
        <v>328</v>
      </c>
      <c r="C27" s="139"/>
      <c r="D27" s="148">
        <v>0</v>
      </c>
      <c r="E27" s="148">
        <v>0</v>
      </c>
      <c r="F27" s="148">
        <v>0</v>
      </c>
      <c r="G27" s="148">
        <v>0</v>
      </c>
      <c r="H27" s="156">
        <v>0</v>
      </c>
      <c r="I27" s="148">
        <v>0</v>
      </c>
      <c r="J27" s="148">
        <f>+J58-I58</f>
        <v>0</v>
      </c>
      <c r="K27" s="153">
        <f>+K58-J58</f>
        <v>0</v>
      </c>
      <c r="L27" s="153">
        <f t="shared" si="12"/>
        <v>0</v>
      </c>
      <c r="M27" s="153">
        <f t="shared" si="13"/>
        <v>-89</v>
      </c>
      <c r="N27" s="153">
        <f t="shared" si="14"/>
        <v>-276</v>
      </c>
      <c r="O27" s="153">
        <f t="shared" si="14"/>
        <v>0</v>
      </c>
      <c r="P27" s="153">
        <f t="shared" si="15"/>
        <v>0</v>
      </c>
      <c r="X27" s="100"/>
      <c r="Y27" s="100"/>
    </row>
    <row r="28" spans="1:25" ht="15" thickBot="1">
      <c r="A28" s="149" t="s">
        <v>67</v>
      </c>
      <c r="B28" s="131" t="s">
        <v>356</v>
      </c>
      <c r="C28" s="131"/>
      <c r="D28" s="146">
        <v>-99</v>
      </c>
      <c r="E28" s="146">
        <v>-85</v>
      </c>
      <c r="F28" s="146">
        <v>-93</v>
      </c>
      <c r="G28" s="146">
        <v>-118</v>
      </c>
      <c r="H28" s="146">
        <v>-70</v>
      </c>
      <c r="I28" s="146">
        <v>-70</v>
      </c>
      <c r="J28" s="146">
        <f>+J59-I59</f>
        <v>-72</v>
      </c>
      <c r="K28" s="153">
        <f>+K59-J59</f>
        <v>-69</v>
      </c>
      <c r="L28" s="153">
        <f t="shared" si="12"/>
        <v>-40</v>
      </c>
      <c r="M28" s="153">
        <f t="shared" si="13"/>
        <v>-41</v>
      </c>
      <c r="N28" s="153">
        <f t="shared" si="14"/>
        <v>-40</v>
      </c>
      <c r="O28" s="153">
        <f t="shared" si="14"/>
        <v>-40</v>
      </c>
      <c r="P28" s="153">
        <f t="shared" si="15"/>
        <v>-6</v>
      </c>
      <c r="X28" s="100"/>
      <c r="Y28" s="100"/>
    </row>
    <row r="29" spans="1:25" ht="15" thickBot="1">
      <c r="A29" s="155" t="s">
        <v>68</v>
      </c>
      <c r="B29" s="132" t="s">
        <v>156</v>
      </c>
      <c r="C29" s="132"/>
      <c r="D29" s="150">
        <f>+D28+D20</f>
        <v>-182862</v>
      </c>
      <c r="E29" s="150">
        <f t="shared" ref="E29:K29" si="16">+E28+E20</f>
        <v>-172653</v>
      </c>
      <c r="F29" s="150">
        <f t="shared" si="16"/>
        <v>-174971</v>
      </c>
      <c r="G29" s="150">
        <f t="shared" si="16"/>
        <v>-171984</v>
      </c>
      <c r="H29" s="150">
        <f t="shared" si="16"/>
        <v>-181304</v>
      </c>
      <c r="I29" s="150">
        <f t="shared" si="16"/>
        <v>-183908</v>
      </c>
      <c r="J29" s="150">
        <f t="shared" si="16"/>
        <v>-184406</v>
      </c>
      <c r="K29" s="150">
        <f t="shared" si="16"/>
        <v>-194826</v>
      </c>
      <c r="L29" s="150">
        <f>+L28+L20</f>
        <v>-210567</v>
      </c>
      <c r="M29" s="150">
        <f>+M28+M20</f>
        <v>-220403</v>
      </c>
      <c r="N29" s="150">
        <f>+N28+N20</f>
        <v>-252590</v>
      </c>
      <c r="O29" s="150">
        <f>+O28+O20</f>
        <v>-254357</v>
      </c>
      <c r="P29" s="150">
        <f>+P28+P20</f>
        <v>-251964</v>
      </c>
      <c r="X29" s="100"/>
      <c r="Y29" s="100"/>
    </row>
    <row r="30" spans="1:25">
      <c r="A30" s="178" t="s">
        <v>427</v>
      </c>
      <c r="B30" s="178" t="s">
        <v>426</v>
      </c>
      <c r="C30" s="195"/>
      <c r="D30" s="195"/>
      <c r="E30" s="195"/>
      <c r="F30" s="195"/>
      <c r="G30" s="195"/>
      <c r="H30" s="195"/>
      <c r="I30" s="195"/>
      <c r="J30" s="195"/>
      <c r="K30" s="195"/>
      <c r="L30" s="195"/>
      <c r="M30" s="195"/>
    </row>
    <row r="31" spans="1:25">
      <c r="A31" s="194"/>
      <c r="B31" s="195"/>
      <c r="C31" s="195"/>
      <c r="D31" s="195"/>
      <c r="E31" s="195"/>
      <c r="F31" s="195"/>
      <c r="G31" s="195"/>
      <c r="H31" s="195"/>
      <c r="I31" s="195"/>
      <c r="J31" s="195"/>
      <c r="K31" s="195"/>
      <c r="L31" s="195"/>
      <c r="M31" s="195"/>
    </row>
    <row r="32" spans="1:25" ht="15.5">
      <c r="A32" s="103" t="s">
        <v>359</v>
      </c>
      <c r="B32" s="83"/>
    </row>
    <row r="33" spans="1:39" ht="15.5">
      <c r="A33" s="103" t="s">
        <v>488</v>
      </c>
      <c r="B33" s="101"/>
      <c r="D33" s="101"/>
    </row>
    <row r="34" spans="1:39" s="211" customFormat="1">
      <c r="A34" s="187" t="s">
        <v>23</v>
      </c>
      <c r="B34" s="187" t="s">
        <v>172</v>
      </c>
      <c r="C34" s="205"/>
      <c r="D34" s="205"/>
      <c r="E34" s="205"/>
      <c r="F34" s="205"/>
      <c r="G34" s="205"/>
      <c r="H34" s="205"/>
      <c r="I34" s="205"/>
      <c r="J34" s="205"/>
      <c r="K34" s="205"/>
      <c r="L34" s="205"/>
      <c r="M34" s="205"/>
      <c r="N34" s="205"/>
      <c r="O34" s="205"/>
      <c r="P34" s="205"/>
      <c r="Q34" s="210"/>
      <c r="R34" s="210"/>
      <c r="S34" s="210"/>
      <c r="T34" s="210"/>
      <c r="U34" s="210"/>
      <c r="V34" s="210"/>
      <c r="W34" s="210"/>
    </row>
    <row r="35" spans="1:39" s="211" customFormat="1" ht="24">
      <c r="A35" s="209" t="s">
        <v>388</v>
      </c>
      <c r="B35" s="209" t="s">
        <v>487</v>
      </c>
      <c r="C35" s="205" t="s">
        <v>358</v>
      </c>
      <c r="D35" s="205" t="s">
        <v>262</v>
      </c>
      <c r="E35" s="205" t="s">
        <v>267</v>
      </c>
      <c r="F35" s="205" t="s">
        <v>275</v>
      </c>
      <c r="G35" s="205" t="s">
        <v>357</v>
      </c>
      <c r="H35" s="205" t="s">
        <v>285</v>
      </c>
      <c r="I35" s="205" t="s">
        <v>371</v>
      </c>
      <c r="J35" s="205" t="s">
        <v>415</v>
      </c>
      <c r="K35" s="205" t="s">
        <v>421</v>
      </c>
      <c r="L35" s="205" t="s">
        <v>423</v>
      </c>
      <c r="M35" s="205" t="s">
        <v>433</v>
      </c>
      <c r="N35" s="205" t="s">
        <v>438</v>
      </c>
      <c r="O35" s="205" t="s">
        <v>441</v>
      </c>
      <c r="P35" s="205" t="s">
        <v>527</v>
      </c>
      <c r="Q35" s="210"/>
      <c r="R35" s="210"/>
      <c r="S35" s="210"/>
      <c r="T35" s="210"/>
      <c r="U35" s="210"/>
      <c r="V35" s="210"/>
      <c r="W35" s="210"/>
    </row>
    <row r="36" spans="1:39" ht="24.5" thickBot="1">
      <c r="A36" s="133" t="s">
        <v>381</v>
      </c>
      <c r="B36" s="133" t="s">
        <v>372</v>
      </c>
      <c r="C36" s="151">
        <f>+C37</f>
        <v>267442</v>
      </c>
      <c r="D36" s="151">
        <f t="shared" ref="D36:P36" si="17">+D37</f>
        <v>81289</v>
      </c>
      <c r="E36" s="151">
        <f t="shared" si="17"/>
        <v>160749</v>
      </c>
      <c r="F36" s="151">
        <f t="shared" si="17"/>
        <v>245534</v>
      </c>
      <c r="G36" s="151">
        <f t="shared" si="17"/>
        <v>328150</v>
      </c>
      <c r="H36" s="151">
        <f t="shared" si="17"/>
        <v>88336</v>
      </c>
      <c r="I36" s="151">
        <f t="shared" si="17"/>
        <v>174182</v>
      </c>
      <c r="J36" s="151">
        <f t="shared" si="17"/>
        <v>257535</v>
      </c>
      <c r="K36" s="151">
        <f t="shared" si="17"/>
        <v>352397</v>
      </c>
      <c r="L36" s="151">
        <f t="shared" si="17"/>
        <v>105093</v>
      </c>
      <c r="M36" s="151">
        <f t="shared" si="17"/>
        <v>199113</v>
      </c>
      <c r="N36" s="151">
        <f t="shared" si="17"/>
        <v>293772</v>
      </c>
      <c r="O36" s="151">
        <f t="shared" si="17"/>
        <v>394733</v>
      </c>
      <c r="P36" s="151">
        <f t="shared" si="17"/>
        <v>102120</v>
      </c>
      <c r="Q36" s="143"/>
      <c r="T36" s="220"/>
      <c r="AE36" s="145"/>
      <c r="AF36" s="145"/>
      <c r="AG36" s="145"/>
      <c r="AH36" s="145"/>
      <c r="AI36" s="145"/>
      <c r="AJ36" s="145"/>
      <c r="AK36" s="145"/>
      <c r="AL36" s="145"/>
      <c r="AM36" s="145"/>
    </row>
    <row r="37" spans="1:39" ht="15" thickBot="1">
      <c r="A37" s="134" t="s">
        <v>45</v>
      </c>
      <c r="B37" s="136" t="s">
        <v>321</v>
      </c>
      <c r="C37" s="153">
        <v>267442</v>
      </c>
      <c r="D37" s="153">
        <v>81289</v>
      </c>
      <c r="E37" s="153">
        <v>160749</v>
      </c>
      <c r="F37" s="153">
        <v>245534</v>
      </c>
      <c r="G37" s="153">
        <v>328150</v>
      </c>
      <c r="H37" s="153">
        <v>88336</v>
      </c>
      <c r="I37" s="153">
        <v>174182</v>
      </c>
      <c r="J37" s="153">
        <v>257535</v>
      </c>
      <c r="K37" s="153">
        <v>352397</v>
      </c>
      <c r="L37" s="153">
        <v>105093</v>
      </c>
      <c r="M37" s="153">
        <v>199113</v>
      </c>
      <c r="N37" s="153">
        <v>293772</v>
      </c>
      <c r="O37" s="153">
        <v>394733</v>
      </c>
      <c r="P37" s="153">
        <v>102120</v>
      </c>
      <c r="Q37" s="143"/>
      <c r="T37" s="220"/>
      <c r="AE37" s="145"/>
      <c r="AF37" s="145"/>
      <c r="AG37" s="145"/>
      <c r="AH37" s="145"/>
      <c r="AI37" s="145"/>
      <c r="AJ37" s="145"/>
      <c r="AK37" s="145"/>
      <c r="AL37" s="145"/>
      <c r="AM37" s="145"/>
    </row>
    <row r="38" spans="1:39" ht="24.5" thickBot="1">
      <c r="A38" s="133" t="s">
        <v>382</v>
      </c>
      <c r="B38" s="133" t="s">
        <v>373</v>
      </c>
      <c r="C38" s="151">
        <f>+C39+C40+C41+C42+C43+C44</f>
        <v>2004237</v>
      </c>
      <c r="D38" s="151">
        <f t="shared" ref="D38:J38" si="18">+D39+D40+D41+D42+D43+D44</f>
        <v>492984</v>
      </c>
      <c r="E38" s="151">
        <f t="shared" si="18"/>
        <v>1004526</v>
      </c>
      <c r="F38" s="151">
        <f t="shared" si="18"/>
        <v>1531006</v>
      </c>
      <c r="G38" s="151">
        <f t="shared" si="18"/>
        <v>2061199</v>
      </c>
      <c r="H38" s="151">
        <f t="shared" si="18"/>
        <v>493873</v>
      </c>
      <c r="I38" s="151">
        <f t="shared" si="18"/>
        <v>1003983</v>
      </c>
      <c r="J38" s="151">
        <f t="shared" si="18"/>
        <v>1537631</v>
      </c>
      <c r="K38" s="151">
        <f t="shared" ref="K38:P38" si="19">+K39+K40+K41+K42+K43+K44</f>
        <v>2092858</v>
      </c>
      <c r="L38" s="151">
        <f t="shared" si="19"/>
        <v>558697</v>
      </c>
      <c r="M38" s="151">
        <f t="shared" si="19"/>
        <v>1227785</v>
      </c>
      <c r="N38" s="151">
        <f t="shared" si="19"/>
        <v>2040780</v>
      </c>
      <c r="O38" s="151">
        <f t="shared" si="19"/>
        <v>2852907</v>
      </c>
      <c r="P38" s="151">
        <f t="shared" si="19"/>
        <v>793067</v>
      </c>
      <c r="Q38" s="143"/>
      <c r="T38" s="220"/>
      <c r="AE38" s="145"/>
      <c r="AF38" s="145"/>
      <c r="AG38" s="145"/>
      <c r="AH38" s="145"/>
      <c r="AI38" s="145"/>
      <c r="AJ38" s="145"/>
      <c r="AK38" s="145"/>
      <c r="AL38" s="145"/>
      <c r="AM38" s="145"/>
    </row>
    <row r="39" spans="1:39" ht="15" thickBot="1">
      <c r="A39" s="134" t="s">
        <v>362</v>
      </c>
      <c r="B39" s="136" t="s">
        <v>374</v>
      </c>
      <c r="C39" s="153">
        <v>25970</v>
      </c>
      <c r="D39" s="153">
        <v>6492</v>
      </c>
      <c r="E39" s="153">
        <v>13307</v>
      </c>
      <c r="F39" s="153">
        <v>20367</v>
      </c>
      <c r="G39" s="153">
        <v>27222</v>
      </c>
      <c r="H39" s="153">
        <v>2589</v>
      </c>
      <c r="I39" s="153">
        <v>5207</v>
      </c>
      <c r="J39" s="153">
        <v>7829</v>
      </c>
      <c r="K39" s="153">
        <v>10528</v>
      </c>
      <c r="L39" s="153">
        <v>2860</v>
      </c>
      <c r="M39" s="153">
        <v>5938</v>
      </c>
      <c r="N39" s="153">
        <v>9280</v>
      </c>
      <c r="O39" s="153">
        <v>12779</v>
      </c>
      <c r="P39" s="153">
        <v>3637</v>
      </c>
      <c r="Q39" s="143"/>
      <c r="T39" s="220"/>
      <c r="AE39" s="145"/>
      <c r="AF39" s="145"/>
      <c r="AG39" s="145"/>
      <c r="AH39" s="145"/>
      <c r="AI39" s="145"/>
      <c r="AJ39" s="145"/>
      <c r="AK39" s="145"/>
      <c r="AL39" s="145"/>
      <c r="AM39" s="145"/>
    </row>
    <row r="40" spans="1:39" ht="15" thickBot="1">
      <c r="A40" s="134" t="s">
        <v>35</v>
      </c>
      <c r="B40" s="136" t="s">
        <v>324</v>
      </c>
      <c r="C40" s="153">
        <v>1633572</v>
      </c>
      <c r="D40" s="153">
        <v>406659</v>
      </c>
      <c r="E40" s="153">
        <v>830122</v>
      </c>
      <c r="F40" s="153">
        <v>1270977</v>
      </c>
      <c r="G40" s="153">
        <v>1719426</v>
      </c>
      <c r="H40" s="153">
        <v>421510</v>
      </c>
      <c r="I40" s="153">
        <v>862807</v>
      </c>
      <c r="J40" s="153">
        <v>1324400</v>
      </c>
      <c r="K40" s="153">
        <v>1807004</v>
      </c>
      <c r="L40" s="153">
        <v>488624</v>
      </c>
      <c r="M40" s="153">
        <v>1079407</v>
      </c>
      <c r="N40" s="153">
        <v>1816641</v>
      </c>
      <c r="O40" s="153">
        <v>2553047</v>
      </c>
      <c r="P40" s="153">
        <v>718199</v>
      </c>
      <c r="Q40" s="143"/>
      <c r="T40" s="220"/>
      <c r="AE40" s="145"/>
      <c r="AF40" s="145"/>
      <c r="AG40" s="145"/>
      <c r="AH40" s="145"/>
      <c r="AI40" s="145"/>
      <c r="AJ40" s="145"/>
      <c r="AK40" s="145"/>
      <c r="AL40" s="145"/>
      <c r="AM40" s="145"/>
    </row>
    <row r="41" spans="1:39" ht="15" thickBot="1">
      <c r="A41" s="134" t="s">
        <v>45</v>
      </c>
      <c r="B41" s="136" t="s">
        <v>321</v>
      </c>
      <c r="C41" s="153">
        <v>0</v>
      </c>
      <c r="D41" s="153">
        <v>0</v>
      </c>
      <c r="E41" s="153">
        <v>0</v>
      </c>
      <c r="F41" s="153">
        <v>0</v>
      </c>
      <c r="G41" s="153">
        <v>0</v>
      </c>
      <c r="H41" s="153">
        <v>364</v>
      </c>
      <c r="I41" s="153">
        <v>731</v>
      </c>
      <c r="J41" s="153">
        <v>1112</v>
      </c>
      <c r="K41" s="153">
        <v>1493</v>
      </c>
      <c r="L41" s="153">
        <v>344</v>
      </c>
      <c r="M41" s="153">
        <v>689</v>
      </c>
      <c r="N41" s="153">
        <v>1118</v>
      </c>
      <c r="O41" s="153">
        <v>1528</v>
      </c>
      <c r="P41" s="153">
        <v>371</v>
      </c>
      <c r="Q41" s="143"/>
      <c r="AE41" s="145"/>
      <c r="AF41" s="145"/>
      <c r="AG41" s="145"/>
      <c r="AH41" s="145"/>
      <c r="AI41" s="145"/>
      <c r="AJ41" s="145"/>
      <c r="AK41" s="145"/>
      <c r="AL41" s="145"/>
      <c r="AM41" s="145"/>
    </row>
    <row r="42" spans="1:39" ht="24.5" thickBot="1">
      <c r="A42" s="134" t="s">
        <v>363</v>
      </c>
      <c r="B42" s="136" t="s">
        <v>375</v>
      </c>
      <c r="C42" s="153">
        <v>611</v>
      </c>
      <c r="D42" s="153">
        <v>151</v>
      </c>
      <c r="E42" s="153">
        <v>620</v>
      </c>
      <c r="F42" s="153">
        <v>846</v>
      </c>
      <c r="G42" s="153">
        <v>1559</v>
      </c>
      <c r="H42" s="153">
        <v>537</v>
      </c>
      <c r="I42" s="153">
        <v>859</v>
      </c>
      <c r="J42" s="153">
        <v>1136</v>
      </c>
      <c r="K42" s="153">
        <v>1780</v>
      </c>
      <c r="L42" s="153">
        <v>460</v>
      </c>
      <c r="M42" s="153">
        <v>1933</v>
      </c>
      <c r="N42" s="153">
        <v>2474</v>
      </c>
      <c r="O42" s="153">
        <v>3033</v>
      </c>
      <c r="P42" s="153">
        <v>522</v>
      </c>
      <c r="Q42" s="143"/>
      <c r="AE42" s="145"/>
      <c r="AF42" s="145"/>
      <c r="AG42" s="145"/>
      <c r="AH42" s="145"/>
      <c r="AI42" s="145"/>
      <c r="AJ42" s="145"/>
      <c r="AK42" s="145"/>
      <c r="AL42" s="145"/>
      <c r="AM42" s="145"/>
    </row>
    <row r="43" spans="1:39" ht="15" thickBot="1">
      <c r="A43" s="134" t="s">
        <v>383</v>
      </c>
      <c r="B43" s="136" t="s">
        <v>376</v>
      </c>
      <c r="C43" s="153">
        <v>10170</v>
      </c>
      <c r="D43" s="153">
        <v>1895</v>
      </c>
      <c r="E43" s="153">
        <v>3973</v>
      </c>
      <c r="F43" s="153">
        <v>5751</v>
      </c>
      <c r="G43" s="153">
        <v>7018</v>
      </c>
      <c r="H43" s="153">
        <v>939</v>
      </c>
      <c r="I43" s="153">
        <v>2296</v>
      </c>
      <c r="J43" s="153">
        <v>4270</v>
      </c>
      <c r="K43" s="153">
        <v>5585</v>
      </c>
      <c r="L43" s="153">
        <v>1544</v>
      </c>
      <c r="M43" s="153">
        <v>7747</v>
      </c>
      <c r="N43" s="153">
        <v>10392</v>
      </c>
      <c r="O43" s="153">
        <v>12618</v>
      </c>
      <c r="P43" s="153">
        <v>5925</v>
      </c>
      <c r="Q43" s="143"/>
      <c r="T43" s="220"/>
      <c r="AE43" s="145"/>
      <c r="AF43" s="145"/>
      <c r="AG43" s="145"/>
      <c r="AH43" s="145"/>
      <c r="AI43" s="145"/>
      <c r="AJ43" s="145"/>
      <c r="AK43" s="145"/>
      <c r="AL43" s="145"/>
      <c r="AM43" s="145"/>
    </row>
    <row r="44" spans="1:39" ht="15" thickBot="1">
      <c r="A44" s="170" t="s">
        <v>34</v>
      </c>
      <c r="B44" s="171" t="s">
        <v>328</v>
      </c>
      <c r="C44" s="169">
        <v>333914</v>
      </c>
      <c r="D44" s="169">
        <v>77787</v>
      </c>
      <c r="E44" s="169">
        <v>156504</v>
      </c>
      <c r="F44" s="169">
        <v>233065</v>
      </c>
      <c r="G44" s="169">
        <v>305974</v>
      </c>
      <c r="H44" s="169">
        <v>67934</v>
      </c>
      <c r="I44" s="169">
        <v>132083</v>
      </c>
      <c r="J44" s="169">
        <v>198884</v>
      </c>
      <c r="K44" s="169">
        <v>266468</v>
      </c>
      <c r="L44" s="169">
        <v>64865</v>
      </c>
      <c r="M44" s="169">
        <v>132071</v>
      </c>
      <c r="N44" s="169">
        <v>200875</v>
      </c>
      <c r="O44" s="169">
        <v>269902</v>
      </c>
      <c r="P44" s="169">
        <v>64413</v>
      </c>
      <c r="Q44" s="143"/>
      <c r="T44" s="220"/>
      <c r="AE44" s="145"/>
      <c r="AF44" s="145"/>
      <c r="AG44" s="145"/>
      <c r="AH44" s="145"/>
      <c r="AI44" s="145"/>
      <c r="AJ44" s="145"/>
      <c r="AK44" s="145"/>
      <c r="AL44" s="145"/>
      <c r="AM44" s="145"/>
    </row>
    <row r="45" spans="1:39" ht="27.75" customHeight="1" thickBot="1">
      <c r="A45" s="133" t="s">
        <v>384</v>
      </c>
      <c r="B45" s="133" t="s">
        <v>377</v>
      </c>
      <c r="C45" s="151">
        <f>+C46+C47</f>
        <v>5675</v>
      </c>
      <c r="D45" s="151">
        <f t="shared" ref="D45:I45" si="20">+D46+D47</f>
        <v>2077</v>
      </c>
      <c r="E45" s="151">
        <f t="shared" si="20"/>
        <v>4497</v>
      </c>
      <c r="F45" s="151">
        <f t="shared" si="20"/>
        <v>6484</v>
      </c>
      <c r="G45" s="151">
        <f t="shared" si="20"/>
        <v>9589</v>
      </c>
      <c r="H45" s="151">
        <f t="shared" si="20"/>
        <v>27386</v>
      </c>
      <c r="I45" s="151">
        <f t="shared" si="20"/>
        <v>55878</v>
      </c>
      <c r="J45" s="151">
        <f t="shared" ref="J45:O45" si="21">+J46+J47</f>
        <v>86258</v>
      </c>
      <c r="K45" s="151">
        <f t="shared" si="21"/>
        <v>116664</v>
      </c>
      <c r="L45" s="151">
        <f t="shared" si="21"/>
        <v>30769</v>
      </c>
      <c r="M45" s="151">
        <f t="shared" si="21"/>
        <v>60599</v>
      </c>
      <c r="N45" s="151">
        <f t="shared" si="21"/>
        <v>93113</v>
      </c>
      <c r="O45" s="151">
        <f t="shared" si="21"/>
        <v>127196</v>
      </c>
      <c r="P45" s="151">
        <f>+P46+P47</f>
        <v>32544</v>
      </c>
      <c r="Q45" s="143"/>
      <c r="T45" s="220"/>
      <c r="AE45" s="145"/>
      <c r="AF45" s="145"/>
      <c r="AG45" s="145"/>
      <c r="AH45" s="145"/>
      <c r="AI45" s="145"/>
      <c r="AJ45" s="145"/>
      <c r="AK45" s="145"/>
      <c r="AL45" s="145"/>
      <c r="AM45" s="145"/>
    </row>
    <row r="46" spans="1:39" ht="53.25" customHeight="1" thickBot="1">
      <c r="A46" s="134" t="s">
        <v>385</v>
      </c>
      <c r="B46" s="136" t="s">
        <v>378</v>
      </c>
      <c r="C46" s="153">
        <v>0</v>
      </c>
      <c r="D46" s="153">
        <v>0</v>
      </c>
      <c r="E46" s="153">
        <v>0</v>
      </c>
      <c r="F46" s="153">
        <v>0</v>
      </c>
      <c r="G46" s="153">
        <v>0</v>
      </c>
      <c r="H46" s="153">
        <v>23170</v>
      </c>
      <c r="I46" s="153">
        <v>46818</v>
      </c>
      <c r="J46" s="153">
        <v>72052</v>
      </c>
      <c r="K46" s="153">
        <v>98605</v>
      </c>
      <c r="L46" s="153">
        <v>26000</v>
      </c>
      <c r="M46" s="153">
        <v>53284</v>
      </c>
      <c r="N46" s="153">
        <v>83233</v>
      </c>
      <c r="O46" s="153">
        <v>114665</v>
      </c>
      <c r="P46" s="153">
        <v>30128</v>
      </c>
      <c r="Q46" s="143"/>
      <c r="T46" s="220"/>
      <c r="AE46" s="145"/>
      <c r="AF46" s="145"/>
      <c r="AG46" s="145"/>
      <c r="AH46" s="145"/>
      <c r="AI46" s="145"/>
      <c r="AJ46" s="145"/>
      <c r="AK46" s="145"/>
      <c r="AL46" s="145"/>
      <c r="AM46" s="145"/>
    </row>
    <row r="47" spans="1:39" ht="24.5" thickBot="1">
      <c r="A47" s="134" t="s">
        <v>386</v>
      </c>
      <c r="B47" s="136" t="s">
        <v>379</v>
      </c>
      <c r="C47" s="153">
        <v>5675</v>
      </c>
      <c r="D47" s="153">
        <v>2077</v>
      </c>
      <c r="E47" s="153">
        <v>4497</v>
      </c>
      <c r="F47" s="153">
        <v>6484</v>
      </c>
      <c r="G47" s="153">
        <v>9589</v>
      </c>
      <c r="H47" s="153">
        <v>4216</v>
      </c>
      <c r="I47" s="153">
        <v>9060</v>
      </c>
      <c r="J47" s="153">
        <v>14206</v>
      </c>
      <c r="K47" s="153">
        <v>18059</v>
      </c>
      <c r="L47" s="153">
        <v>4769</v>
      </c>
      <c r="M47" s="153">
        <v>7315</v>
      </c>
      <c r="N47" s="153">
        <v>9880</v>
      </c>
      <c r="O47" s="153">
        <v>12531</v>
      </c>
      <c r="P47" s="153">
        <v>2416</v>
      </c>
      <c r="Q47" s="143"/>
      <c r="T47" s="220"/>
      <c r="AE47" s="145"/>
      <c r="AF47" s="145"/>
      <c r="AG47" s="145"/>
      <c r="AH47" s="145"/>
      <c r="AI47" s="145"/>
      <c r="AJ47" s="145"/>
      <c r="AK47" s="145"/>
      <c r="AL47" s="145"/>
      <c r="AM47" s="145"/>
    </row>
    <row r="48" spans="1:39" ht="15" thickBot="1">
      <c r="A48" s="135" t="s">
        <v>387</v>
      </c>
      <c r="B48" s="135" t="s">
        <v>156</v>
      </c>
      <c r="C48" s="154">
        <f t="shared" ref="C48:J48" si="22">+C45+C38+C36</f>
        <v>2277354</v>
      </c>
      <c r="D48" s="154">
        <f t="shared" si="22"/>
        <v>576350</v>
      </c>
      <c r="E48" s="154">
        <f t="shared" si="22"/>
        <v>1169772</v>
      </c>
      <c r="F48" s="154">
        <f t="shared" si="22"/>
        <v>1783024</v>
      </c>
      <c r="G48" s="154">
        <f t="shared" si="22"/>
        <v>2398938</v>
      </c>
      <c r="H48" s="154">
        <f t="shared" si="22"/>
        <v>609595</v>
      </c>
      <c r="I48" s="154">
        <f t="shared" si="22"/>
        <v>1234043</v>
      </c>
      <c r="J48" s="154">
        <f t="shared" si="22"/>
        <v>1881424</v>
      </c>
      <c r="K48" s="154">
        <f t="shared" ref="K48:P48" si="23">+K45+K38+K36</f>
        <v>2561919</v>
      </c>
      <c r="L48" s="154">
        <f t="shared" si="23"/>
        <v>694559</v>
      </c>
      <c r="M48" s="154">
        <f t="shared" si="23"/>
        <v>1487497</v>
      </c>
      <c r="N48" s="154">
        <f t="shared" si="23"/>
        <v>2427665</v>
      </c>
      <c r="O48" s="154">
        <f t="shared" si="23"/>
        <v>3374836</v>
      </c>
      <c r="P48" s="154">
        <f t="shared" si="23"/>
        <v>927731</v>
      </c>
      <c r="Q48" s="143"/>
      <c r="T48" s="220"/>
      <c r="AE48" s="145"/>
      <c r="AF48" s="145"/>
      <c r="AG48" s="145"/>
      <c r="AH48" s="145"/>
      <c r="AI48" s="145"/>
      <c r="AJ48" s="145"/>
      <c r="AK48" s="145"/>
      <c r="AL48" s="145"/>
      <c r="AM48" s="145"/>
    </row>
    <row r="49" spans="1:39" ht="15" thickBot="1">
      <c r="B49"/>
      <c r="C49"/>
      <c r="D49"/>
      <c r="E49"/>
      <c r="F49"/>
      <c r="G49"/>
      <c r="H49"/>
      <c r="I49"/>
      <c r="J49"/>
      <c r="K49"/>
      <c r="L49"/>
      <c r="M49"/>
      <c r="N49"/>
      <c r="O49"/>
      <c r="P49"/>
    </row>
    <row r="50" spans="1:39" s="211" customFormat="1" ht="24.5" thickBot="1">
      <c r="A50" s="213" t="s">
        <v>390</v>
      </c>
      <c r="B50" s="214"/>
      <c r="C50" s="205" t="s">
        <v>358</v>
      </c>
      <c r="D50" s="205" t="s">
        <v>262</v>
      </c>
      <c r="E50" s="205" t="s">
        <v>267</v>
      </c>
      <c r="F50" s="205" t="s">
        <v>275</v>
      </c>
      <c r="G50" s="205" t="s">
        <v>357</v>
      </c>
      <c r="H50" s="205" t="s">
        <v>285</v>
      </c>
      <c r="I50" s="205" t="s">
        <v>371</v>
      </c>
      <c r="J50" s="205" t="s">
        <v>415</v>
      </c>
      <c r="K50" s="205" t="s">
        <v>421</v>
      </c>
      <c r="L50" s="205" t="s">
        <v>423</v>
      </c>
      <c r="M50" s="205" t="s">
        <v>433</v>
      </c>
      <c r="N50" s="205" t="s">
        <v>438</v>
      </c>
      <c r="O50" s="205" t="s">
        <v>441</v>
      </c>
      <c r="P50" s="205" t="s">
        <v>527</v>
      </c>
      <c r="Q50" s="210"/>
      <c r="R50" s="210"/>
      <c r="S50" s="210"/>
      <c r="T50" s="210"/>
      <c r="U50" s="210"/>
      <c r="V50" s="210"/>
      <c r="W50" s="210"/>
    </row>
    <row r="51" spans="1:39" ht="15" thickBot="1">
      <c r="A51" s="137" t="s">
        <v>335</v>
      </c>
      <c r="B51" s="130" t="s">
        <v>380</v>
      </c>
      <c r="C51" s="142">
        <f>+C52+C53+C54+C55+C56+C58</f>
        <v>-770981</v>
      </c>
      <c r="D51" s="142">
        <f t="shared" ref="D51:K51" si="24">+D52+D53+D54+D55+D56+D58</f>
        <v>-182763</v>
      </c>
      <c r="E51" s="142">
        <f t="shared" si="24"/>
        <v>-355331</v>
      </c>
      <c r="F51" s="142">
        <f t="shared" si="24"/>
        <v>-530209</v>
      </c>
      <c r="G51" s="142">
        <f t="shared" si="24"/>
        <v>-702075</v>
      </c>
      <c r="H51" s="142">
        <f t="shared" si="24"/>
        <v>-181234</v>
      </c>
      <c r="I51" s="142">
        <f t="shared" si="24"/>
        <v>-365072</v>
      </c>
      <c r="J51" s="142">
        <f t="shared" si="24"/>
        <v>-549406</v>
      </c>
      <c r="K51" s="142">
        <f t="shared" si="24"/>
        <v>-744163</v>
      </c>
      <c r="L51" s="142">
        <f>+L52+L53+L54+L55+L56+L58+L57</f>
        <v>-210527</v>
      </c>
      <c r="M51" s="142">
        <f>+M52+M53+M54+M55+M56+M58+M57</f>
        <v>-430889</v>
      </c>
      <c r="N51" s="142">
        <f>+N52+N53+N54+N55+N56+N58+N57</f>
        <v>-683439</v>
      </c>
      <c r="O51" s="142">
        <f>+O52+O53+O54+O55+O56+O58+O57</f>
        <v>-937756</v>
      </c>
      <c r="P51" s="142">
        <f>+P52+P53+P54+P55+P56+P58+P57</f>
        <v>-251958</v>
      </c>
      <c r="Q51" s="143"/>
      <c r="T51" s="220"/>
      <c r="AE51" s="145"/>
      <c r="AF51" s="145"/>
      <c r="AG51" s="145"/>
      <c r="AH51" s="145"/>
      <c r="AK51" s="145"/>
      <c r="AL51" s="145"/>
      <c r="AM51" s="145"/>
    </row>
    <row r="52" spans="1:39" ht="24.5" thickBot="1">
      <c r="A52" s="134" t="s">
        <v>389</v>
      </c>
      <c r="B52" s="139" t="s">
        <v>338</v>
      </c>
      <c r="C52" s="146">
        <v>-23446</v>
      </c>
      <c r="D52" s="146">
        <v>-6393</v>
      </c>
      <c r="E52" s="146">
        <v>-13471</v>
      </c>
      <c r="F52" s="146">
        <v>-22478</v>
      </c>
      <c r="G52" s="146">
        <v>-29133</v>
      </c>
      <c r="H52" s="146">
        <v>-6313</v>
      </c>
      <c r="I52" s="146">
        <v>-9984</v>
      </c>
      <c r="J52" s="146">
        <v>-15476</v>
      </c>
      <c r="K52" s="146">
        <v>-21816</v>
      </c>
      <c r="L52" s="146">
        <v>-6709</v>
      </c>
      <c r="M52" s="146">
        <v>-14478</v>
      </c>
      <c r="N52" s="146">
        <v>-22137</v>
      </c>
      <c r="O52" s="146">
        <v>-29424</v>
      </c>
      <c r="P52" s="146">
        <v>-6333</v>
      </c>
      <c r="Q52" s="143"/>
      <c r="T52" s="220"/>
      <c r="AE52" s="145"/>
      <c r="AF52" s="145"/>
      <c r="AG52" s="145"/>
      <c r="AH52" s="145"/>
      <c r="AK52" s="145"/>
      <c r="AL52" s="145"/>
      <c r="AM52" s="145"/>
    </row>
    <row r="53" spans="1:39" ht="15" thickBot="1">
      <c r="A53" s="134" t="s">
        <v>339</v>
      </c>
      <c r="B53" s="139" t="s">
        <v>129</v>
      </c>
      <c r="C53" s="146">
        <v>-690045</v>
      </c>
      <c r="D53" s="146">
        <v>-160720</v>
      </c>
      <c r="E53" s="146">
        <v>-313778</v>
      </c>
      <c r="F53" s="146">
        <v>-465691</v>
      </c>
      <c r="G53" s="146">
        <v>-615992</v>
      </c>
      <c r="H53" s="146">
        <v>-158741</v>
      </c>
      <c r="I53" s="146">
        <v>-322940</v>
      </c>
      <c r="J53" s="146">
        <v>-485494</v>
      </c>
      <c r="K53" s="146">
        <v>-660422</v>
      </c>
      <c r="L53" s="146">
        <v>-182830</v>
      </c>
      <c r="M53" s="146">
        <v>-370947</v>
      </c>
      <c r="N53" s="146">
        <v>-587544</v>
      </c>
      <c r="O53" s="146">
        <v>-806973</v>
      </c>
      <c r="P53" s="146">
        <v>-215765</v>
      </c>
      <c r="Q53" s="143"/>
      <c r="T53" s="220"/>
      <c r="AE53" s="145"/>
      <c r="AF53" s="145"/>
      <c r="AG53" s="145"/>
      <c r="AH53" s="145"/>
      <c r="AK53" s="145"/>
      <c r="AL53" s="145"/>
      <c r="AM53" s="145"/>
    </row>
    <row r="54" spans="1:39" ht="15" thickBot="1">
      <c r="A54" s="134" t="s">
        <v>364</v>
      </c>
      <c r="B54" s="139" t="s">
        <v>376</v>
      </c>
      <c r="C54" s="146">
        <v>-10815</v>
      </c>
      <c r="D54" s="146">
        <v>-4225</v>
      </c>
      <c r="E54" s="146">
        <v>-7185</v>
      </c>
      <c r="F54" s="146">
        <v>-10925</v>
      </c>
      <c r="G54" s="146">
        <v>-14052</v>
      </c>
      <c r="H54" s="146">
        <v>-2117</v>
      </c>
      <c r="I54" s="146">
        <v>-4472</v>
      </c>
      <c r="J54" s="146">
        <v>-9440</v>
      </c>
      <c r="K54" s="146">
        <v>-11584</v>
      </c>
      <c r="L54" s="146">
        <v>-2479</v>
      </c>
      <c r="M54" s="146">
        <v>-3273</v>
      </c>
      <c r="N54" s="146">
        <v>-4414</v>
      </c>
      <c r="O54" s="146">
        <v>-5997</v>
      </c>
      <c r="P54" s="146">
        <v>-6302</v>
      </c>
      <c r="Q54" s="143"/>
      <c r="T54" s="220"/>
      <c r="AE54" s="145"/>
      <c r="AF54" s="145"/>
      <c r="AG54" s="145"/>
      <c r="AH54" s="145"/>
      <c r="AK54" s="145"/>
      <c r="AL54" s="145"/>
      <c r="AM54" s="145"/>
    </row>
    <row r="55" spans="1:39" ht="15" thickBot="1">
      <c r="A55" s="134" t="s">
        <v>340</v>
      </c>
      <c r="B55" s="139" t="s">
        <v>341</v>
      </c>
      <c r="C55" s="146">
        <v>-33831</v>
      </c>
      <c r="D55" s="146">
        <v>-8467</v>
      </c>
      <c r="E55" s="146">
        <v>-15033</v>
      </c>
      <c r="F55" s="146">
        <v>-22364</v>
      </c>
      <c r="G55" s="146">
        <v>-29677</v>
      </c>
      <c r="H55" s="146">
        <v>-6969</v>
      </c>
      <c r="I55" s="146">
        <v>-13422</v>
      </c>
      <c r="J55" s="146">
        <v>-17544</v>
      </c>
      <c r="K55" s="146">
        <v>-21685</v>
      </c>
      <c r="L55" s="146">
        <v>-4125</v>
      </c>
      <c r="M55" s="146">
        <v>-9840</v>
      </c>
      <c r="N55" s="146">
        <v>-18169</v>
      </c>
      <c r="O55" s="146">
        <v>-26185</v>
      </c>
      <c r="P55" s="146">
        <v>-6045</v>
      </c>
      <c r="Q55" s="143"/>
      <c r="T55" s="220"/>
      <c r="AE55" s="145"/>
      <c r="AF55" s="145"/>
      <c r="AG55" s="145"/>
      <c r="AH55" s="145"/>
      <c r="AK55" s="145"/>
      <c r="AL55" s="145"/>
      <c r="AM55" s="145"/>
    </row>
    <row r="56" spans="1:39" ht="15" thickBot="1">
      <c r="A56" s="134" t="s">
        <v>48</v>
      </c>
      <c r="B56" s="139" t="s">
        <v>134</v>
      </c>
      <c r="C56" s="146">
        <v>-12844</v>
      </c>
      <c r="D56" s="146">
        <v>-2958</v>
      </c>
      <c r="E56" s="146">
        <v>-5864</v>
      </c>
      <c r="F56" s="146">
        <v>-8751</v>
      </c>
      <c r="G56" s="146">
        <v>-13221</v>
      </c>
      <c r="H56" s="146">
        <v>-7094</v>
      </c>
      <c r="I56" s="146">
        <v>-14254</v>
      </c>
      <c r="J56" s="146">
        <v>-21452</v>
      </c>
      <c r="K56" s="146">
        <v>-28656</v>
      </c>
      <c r="L56" s="146">
        <v>-12733</v>
      </c>
      <c r="M56" s="146">
        <v>-28594</v>
      </c>
      <c r="N56" s="146">
        <v>-45163</v>
      </c>
      <c r="O56" s="146">
        <v>-60936</v>
      </c>
      <c r="P56" s="146">
        <v>-15586</v>
      </c>
      <c r="Q56" s="143"/>
      <c r="T56" s="220"/>
      <c r="AE56" s="145"/>
      <c r="AF56" s="145"/>
      <c r="AG56" s="145"/>
      <c r="AH56" s="145"/>
      <c r="AK56" s="145"/>
      <c r="AL56" s="145"/>
      <c r="AM56" s="145"/>
    </row>
    <row r="57" spans="1:39" s="177" customFormat="1" ht="15" thickBot="1">
      <c r="A57" s="170" t="s">
        <v>425</v>
      </c>
      <c r="B57" s="172" t="s">
        <v>430</v>
      </c>
      <c r="C57" s="173"/>
      <c r="D57" s="173"/>
      <c r="E57" s="173"/>
      <c r="F57" s="173"/>
      <c r="G57" s="173"/>
      <c r="H57" s="174" t="s">
        <v>399</v>
      </c>
      <c r="I57" s="174" t="s">
        <v>399</v>
      </c>
      <c r="J57" s="174" t="s">
        <v>399</v>
      </c>
      <c r="K57" s="174" t="s">
        <v>399</v>
      </c>
      <c r="L57" s="173">
        <v>-1651</v>
      </c>
      <c r="M57" s="173">
        <v>-3668</v>
      </c>
      <c r="N57" s="173">
        <v>-5647</v>
      </c>
      <c r="O57" s="173">
        <v>-7876</v>
      </c>
      <c r="P57" s="173">
        <v>-1927</v>
      </c>
      <c r="Q57" s="175"/>
      <c r="T57" s="221"/>
      <c r="AE57" s="176"/>
      <c r="AF57" s="176"/>
      <c r="AG57" s="176"/>
      <c r="AH57" s="176"/>
      <c r="AK57" s="176"/>
      <c r="AL57" s="176"/>
      <c r="AM57" s="176"/>
    </row>
    <row r="58" spans="1:39" ht="15" thickBot="1">
      <c r="A58" s="134" t="s">
        <v>34</v>
      </c>
      <c r="B58" s="139" t="s">
        <v>328</v>
      </c>
      <c r="C58" s="148">
        <v>0</v>
      </c>
      <c r="D58" s="148">
        <v>0</v>
      </c>
      <c r="E58" s="148">
        <v>0</v>
      </c>
      <c r="F58" s="148">
        <v>0</v>
      </c>
      <c r="G58" s="148">
        <v>0</v>
      </c>
      <c r="H58" s="148">
        <v>0</v>
      </c>
      <c r="I58" s="148">
        <v>0</v>
      </c>
      <c r="J58" s="148">
        <v>0</v>
      </c>
      <c r="K58" s="148">
        <v>0</v>
      </c>
      <c r="L58" s="148">
        <v>0</v>
      </c>
      <c r="M58" s="148">
        <v>-89</v>
      </c>
      <c r="N58" s="148">
        <v>-365</v>
      </c>
      <c r="O58" s="148">
        <v>-365</v>
      </c>
      <c r="P58" s="148">
        <v>0</v>
      </c>
      <c r="Q58" s="143"/>
      <c r="T58" s="222"/>
      <c r="AE58" s="145"/>
      <c r="AF58" s="145"/>
      <c r="AG58" s="145"/>
      <c r="AH58" s="145"/>
      <c r="AK58" s="145"/>
      <c r="AL58" s="145"/>
      <c r="AM58" s="145"/>
    </row>
    <row r="59" spans="1:39" ht="15" thickBot="1">
      <c r="A59" s="138" t="s">
        <v>67</v>
      </c>
      <c r="B59" s="131" t="s">
        <v>356</v>
      </c>
      <c r="C59" s="146">
        <v>-535</v>
      </c>
      <c r="D59" s="146">
        <v>-99</v>
      </c>
      <c r="E59" s="146">
        <v>-184</v>
      </c>
      <c r="F59" s="146">
        <v>-277</v>
      </c>
      <c r="G59" s="146">
        <v>-395</v>
      </c>
      <c r="H59" s="146">
        <v>-70</v>
      </c>
      <c r="I59" s="146">
        <v>-140</v>
      </c>
      <c r="J59" s="146">
        <v>-212</v>
      </c>
      <c r="K59" s="146">
        <v>-281</v>
      </c>
      <c r="L59" s="146">
        <v>-40</v>
      </c>
      <c r="M59" s="146">
        <v>-81</v>
      </c>
      <c r="N59" s="146">
        <v>-121</v>
      </c>
      <c r="O59" s="146">
        <v>-161</v>
      </c>
      <c r="P59" s="146">
        <v>-6</v>
      </c>
      <c r="Q59" s="143"/>
      <c r="AE59" s="145"/>
      <c r="AF59" s="145"/>
      <c r="AG59" s="145"/>
      <c r="AH59" s="145"/>
      <c r="AK59" s="145"/>
      <c r="AL59" s="145"/>
      <c r="AM59" s="145"/>
    </row>
    <row r="60" spans="1:39" ht="15" thickBot="1">
      <c r="A60" s="135" t="s">
        <v>68</v>
      </c>
      <c r="B60" s="132" t="s">
        <v>156</v>
      </c>
      <c r="C60" s="150">
        <f>+C59+C51</f>
        <v>-771516</v>
      </c>
      <c r="D60" s="150">
        <f t="shared" ref="D60:K60" si="25">+D59+D51</f>
        <v>-182862</v>
      </c>
      <c r="E60" s="150">
        <f t="shared" si="25"/>
        <v>-355515</v>
      </c>
      <c r="F60" s="150">
        <f t="shared" si="25"/>
        <v>-530486</v>
      </c>
      <c r="G60" s="150">
        <f t="shared" si="25"/>
        <v>-702470</v>
      </c>
      <c r="H60" s="150">
        <f t="shared" si="25"/>
        <v>-181304</v>
      </c>
      <c r="I60" s="150">
        <f t="shared" si="25"/>
        <v>-365212</v>
      </c>
      <c r="J60" s="150">
        <f t="shared" si="25"/>
        <v>-549618</v>
      </c>
      <c r="K60" s="150">
        <f t="shared" si="25"/>
        <v>-744444</v>
      </c>
      <c r="L60" s="150">
        <f>+L59+L51</f>
        <v>-210567</v>
      </c>
      <c r="M60" s="150">
        <f>+M59+M51</f>
        <v>-430970</v>
      </c>
      <c r="N60" s="150">
        <f>+N59+N51</f>
        <v>-683560</v>
      </c>
      <c r="O60" s="150">
        <f>+O59+O51</f>
        <v>-937917</v>
      </c>
      <c r="P60" s="150">
        <f>+P59+P51</f>
        <v>-251964</v>
      </c>
      <c r="Q60" s="143"/>
      <c r="T60" s="220"/>
      <c r="AE60" s="145"/>
      <c r="AF60" s="145"/>
      <c r="AG60" s="145"/>
      <c r="AH60" s="145"/>
      <c r="AK60" s="145"/>
      <c r="AL60" s="145"/>
      <c r="AM60" s="145"/>
    </row>
    <row r="61" spans="1:39">
      <c r="A61" s="178" t="s">
        <v>427</v>
      </c>
      <c r="B61" s="178" t="s">
        <v>426</v>
      </c>
      <c r="C61" s="143"/>
      <c r="D61" s="143"/>
      <c r="E61" s="143"/>
      <c r="F61" s="143"/>
      <c r="G61" s="143"/>
      <c r="H61" s="143"/>
      <c r="I61" s="143"/>
      <c r="J61" s="143"/>
      <c r="K61" s="143"/>
      <c r="L61" s="143"/>
      <c r="M61" s="143"/>
      <c r="N61" s="143"/>
      <c r="O61" s="143"/>
      <c r="P61" s="143"/>
      <c r="Q61" s="143"/>
      <c r="R61" s="143"/>
      <c r="S61" s="143"/>
      <c r="T61" s="143"/>
      <c r="U61" s="143"/>
      <c r="V61" s="143"/>
      <c r="W61" s="143"/>
      <c r="X61" s="145"/>
      <c r="Y61" s="145"/>
      <c r="Z61" s="145"/>
      <c r="AA61" s="145"/>
      <c r="AB61" s="145"/>
      <c r="AC61" s="145"/>
      <c r="AD61" s="145"/>
      <c r="AE61" s="145"/>
      <c r="AK61" s="145"/>
      <c r="AL61" s="145"/>
      <c r="AM61" s="145"/>
    </row>
  </sheetData>
  <pageMargins left="0.7" right="0.7" top="0.75" bottom="0.75" header="0.3" footer="0.3"/>
  <pageSetup paperSize="9" scale="3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G81"/>
  <sheetViews>
    <sheetView zoomScale="90" zoomScaleNormal="90" workbookViewId="0">
      <pane xSplit="2" ySplit="3" topLeftCell="U4" activePane="bottomRight" state="frozenSplit"/>
      <selection pane="topRight" activeCell="C1" sqref="C1"/>
      <selection pane="bottomLeft" activeCell="A3" sqref="A3"/>
      <selection pane="bottomRight" activeCell="A2" sqref="A2"/>
    </sheetView>
  </sheetViews>
  <sheetFormatPr defaultColWidth="8.75" defaultRowHeight="12" outlineLevelCol="1"/>
  <cols>
    <col min="1" max="1" width="33.6640625" style="113" customWidth="1"/>
    <col min="2" max="2" width="38.25" style="113" customWidth="1"/>
    <col min="3" max="9" width="12.25" style="1" hidden="1" customWidth="1" outlineLevel="1"/>
    <col min="10" max="10" width="10.6640625" style="1" hidden="1" customWidth="1" outlineLevel="1"/>
    <col min="11" max="11" width="12.25" style="1" hidden="1" customWidth="1" outlineLevel="1" collapsed="1"/>
    <col min="12" max="18" width="12.25" style="1" hidden="1" customWidth="1" outlineLevel="1"/>
    <col min="19" max="19" width="11.08203125" style="1" customWidth="1" collapsed="1"/>
    <col min="20" max="27" width="11.08203125" style="1" customWidth="1"/>
    <col min="28" max="28" width="4.25" style="1" customWidth="1"/>
    <col min="29" max="29" width="33.6640625" style="1" customWidth="1"/>
    <col min="30" max="36" width="11.08203125" style="1" customWidth="1"/>
    <col min="37" max="37" width="12.25" style="1" customWidth="1"/>
    <col min="38" max="38" width="12.25" style="1" customWidth="1" collapsed="1"/>
    <col min="39" max="39" width="12.25" style="1" customWidth="1"/>
    <col min="40" max="40" width="12.25" style="1" customWidth="1" collapsed="1"/>
    <col min="41" max="43" width="12.25" style="1" customWidth="1"/>
    <col min="44" max="44" width="12.6640625" style="69" customWidth="1"/>
    <col min="45" max="45" width="9.9140625" style="69" customWidth="1"/>
    <col min="46" max="46" width="9.25" style="1" customWidth="1"/>
    <col min="47" max="47" width="9" style="69" customWidth="1"/>
    <col min="48" max="48" width="9.08203125" style="69" customWidth="1"/>
    <col min="49" max="49" width="9.25" style="69" customWidth="1"/>
    <col min="50" max="53" width="9.6640625" style="69" customWidth="1"/>
    <col min="54" max="54" width="2.33203125" style="69" customWidth="1"/>
    <col min="55" max="55" width="18.75" style="1" customWidth="1"/>
    <col min="56" max="16384" width="8.75" style="1"/>
  </cols>
  <sheetData>
    <row r="1" spans="1:55" ht="15.5">
      <c r="A1" s="112" t="s">
        <v>58</v>
      </c>
      <c r="AD1" s="28"/>
      <c r="AE1" s="28"/>
      <c r="AF1" s="28"/>
      <c r="AG1" s="28"/>
      <c r="AH1" s="28"/>
      <c r="AI1" s="28"/>
      <c r="AJ1" s="28"/>
      <c r="AK1" s="28"/>
      <c r="AL1" s="28"/>
      <c r="AM1" s="28"/>
      <c r="AN1" s="28"/>
      <c r="AO1" s="28"/>
      <c r="AP1" s="28"/>
      <c r="AQ1" s="28"/>
      <c r="AT1" s="28"/>
    </row>
    <row r="2" spans="1:55" ht="15.5">
      <c r="A2" s="112" t="s">
        <v>485</v>
      </c>
      <c r="B2" s="1"/>
      <c r="P2" s="69"/>
      <c r="Q2" s="69"/>
      <c r="S2" s="69"/>
      <c r="T2" s="69"/>
      <c r="U2" s="69"/>
      <c r="V2" s="69"/>
      <c r="W2" s="69"/>
      <c r="X2" s="69"/>
      <c r="Y2" s="69"/>
      <c r="Z2" s="27"/>
      <c r="AA2" s="27"/>
    </row>
    <row r="3" spans="1:55" s="207" customFormat="1" ht="24.5" thickBot="1">
      <c r="A3" s="187" t="s">
        <v>515</v>
      </c>
      <c r="B3" s="187" t="s">
        <v>170</v>
      </c>
      <c r="C3" s="205" t="s">
        <v>189</v>
      </c>
      <c r="D3" s="205" t="s">
        <v>191</v>
      </c>
      <c r="E3" s="205" t="s">
        <v>197</v>
      </c>
      <c r="F3" s="205" t="s">
        <v>215</v>
      </c>
      <c r="G3" s="205" t="s">
        <v>219</v>
      </c>
      <c r="H3" s="205" t="s">
        <v>237</v>
      </c>
      <c r="I3" s="205" t="s">
        <v>240</v>
      </c>
      <c r="J3" s="205" t="s">
        <v>243</v>
      </c>
      <c r="K3" s="205" t="s">
        <v>245</v>
      </c>
      <c r="L3" s="205" t="s">
        <v>253</v>
      </c>
      <c r="M3" s="205" t="s">
        <v>256</v>
      </c>
      <c r="N3" s="205" t="s">
        <v>260</v>
      </c>
      <c r="O3" s="205" t="s">
        <v>262</v>
      </c>
      <c r="P3" s="205" t="s">
        <v>273</v>
      </c>
      <c r="Q3" s="205" t="s">
        <v>276</v>
      </c>
      <c r="R3" s="205" t="s">
        <v>283</v>
      </c>
      <c r="S3" s="205" t="s">
        <v>285</v>
      </c>
      <c r="T3" s="205" t="s">
        <v>366</v>
      </c>
      <c r="U3" s="205" t="s">
        <v>414</v>
      </c>
      <c r="V3" s="205" t="s">
        <v>419</v>
      </c>
      <c r="W3" s="205" t="s">
        <v>422</v>
      </c>
      <c r="X3" s="205" t="s">
        <v>432</v>
      </c>
      <c r="Y3" s="205" t="s">
        <v>436</v>
      </c>
      <c r="Z3" s="205" t="s">
        <v>445</v>
      </c>
      <c r="AA3" s="205" t="s">
        <v>527</v>
      </c>
      <c r="AB3" s="215"/>
      <c r="AS3" s="216"/>
      <c r="AT3" s="216"/>
      <c r="AV3" s="217"/>
      <c r="AW3" s="217"/>
      <c r="AX3" s="217"/>
      <c r="AY3" s="217"/>
      <c r="AZ3" s="217"/>
      <c r="BA3" s="217"/>
      <c r="BB3" s="217"/>
      <c r="BC3" s="217"/>
    </row>
    <row r="4" spans="1:55">
      <c r="A4" s="104" t="s">
        <v>59</v>
      </c>
      <c r="B4" s="114" t="s">
        <v>146</v>
      </c>
      <c r="C4" s="78">
        <v>23228</v>
      </c>
      <c r="D4" s="72">
        <v>23548</v>
      </c>
      <c r="E4" s="72">
        <v>23351</v>
      </c>
      <c r="F4" s="72">
        <v>22820</v>
      </c>
      <c r="G4" s="74">
        <v>21938</v>
      </c>
      <c r="H4" s="74">
        <v>21597</v>
      </c>
      <c r="I4" s="74">
        <v>22486</v>
      </c>
      <c r="J4" s="74">
        <v>20082</v>
      </c>
      <c r="K4" s="74">
        <v>19973</v>
      </c>
      <c r="L4" s="74">
        <v>20680</v>
      </c>
      <c r="M4" s="74">
        <v>20200</v>
      </c>
      <c r="N4" s="74">
        <v>20498</v>
      </c>
      <c r="O4" s="74">
        <v>19682</v>
      </c>
      <c r="P4" s="74">
        <v>19690</v>
      </c>
      <c r="Q4" s="74">
        <v>18680</v>
      </c>
      <c r="R4" s="74">
        <v>19661</v>
      </c>
      <c r="S4" s="74">
        <v>20547</v>
      </c>
      <c r="T4" s="74">
        <f t="shared" ref="T4:T13" si="0">+T45-S4</f>
        <v>20857</v>
      </c>
      <c r="U4" s="74">
        <f t="shared" ref="U4:V13" si="1">+U45-T45</f>
        <v>20763</v>
      </c>
      <c r="V4" s="74">
        <f t="shared" si="1"/>
        <v>18869</v>
      </c>
      <c r="W4" s="74">
        <f t="shared" ref="W4:W13" si="2">+W45</f>
        <v>19134</v>
      </c>
      <c r="X4" s="74">
        <f t="shared" ref="X4:X13" si="3">+X45-W4</f>
        <v>19127</v>
      </c>
      <c r="Y4" s="74">
        <f t="shared" ref="Y4:Z13" si="4">+Y45-X45</f>
        <v>19917</v>
      </c>
      <c r="Z4" s="74">
        <f t="shared" si="4"/>
        <v>18690</v>
      </c>
      <c r="AA4" s="74">
        <f t="shared" ref="AA4:AA13" si="5">+AA45</f>
        <v>19727</v>
      </c>
      <c r="AB4" s="27"/>
      <c r="AR4" s="1"/>
      <c r="AT4" s="69"/>
      <c r="AU4" s="1"/>
      <c r="AV4" s="157"/>
      <c r="AW4" s="157"/>
      <c r="AX4" s="157"/>
      <c r="AY4" s="157"/>
      <c r="AZ4" s="157"/>
      <c r="BA4" s="157"/>
      <c r="BB4" s="157"/>
      <c r="BC4" s="157"/>
    </row>
    <row r="5" spans="1:55" ht="24">
      <c r="A5" s="104" t="s">
        <v>69</v>
      </c>
      <c r="B5" s="115" t="s">
        <v>147</v>
      </c>
      <c r="C5" s="79">
        <v>11334</v>
      </c>
      <c r="D5" s="73">
        <v>11635</v>
      </c>
      <c r="E5" s="73">
        <v>11803</v>
      </c>
      <c r="F5" s="73">
        <v>12064</v>
      </c>
      <c r="G5" s="71">
        <v>11661</v>
      </c>
      <c r="H5" s="71">
        <v>12389</v>
      </c>
      <c r="I5" s="71">
        <v>12473</v>
      </c>
      <c r="J5" s="71">
        <v>13127</v>
      </c>
      <c r="K5" s="71">
        <v>12558</v>
      </c>
      <c r="L5" s="71">
        <v>13519</v>
      </c>
      <c r="M5" s="71">
        <v>13607</v>
      </c>
      <c r="N5" s="71">
        <v>14171</v>
      </c>
      <c r="O5" s="71">
        <v>13952</v>
      </c>
      <c r="P5" s="71">
        <v>15290</v>
      </c>
      <c r="Q5" s="71">
        <v>16304</v>
      </c>
      <c r="R5" s="71">
        <v>17649</v>
      </c>
      <c r="S5" s="71">
        <v>18594</v>
      </c>
      <c r="T5" s="71">
        <f t="shared" si="0"/>
        <v>18318</v>
      </c>
      <c r="U5" s="71">
        <f t="shared" si="1"/>
        <v>18129</v>
      </c>
      <c r="V5" s="71">
        <f t="shared" si="1"/>
        <v>18641</v>
      </c>
      <c r="W5" s="71">
        <f t="shared" si="2"/>
        <v>17295</v>
      </c>
      <c r="X5" s="71">
        <f t="shared" si="3"/>
        <v>18638</v>
      </c>
      <c r="Y5" s="71">
        <f t="shared" si="4"/>
        <v>18938</v>
      </c>
      <c r="Z5" s="71">
        <f t="shared" si="4"/>
        <v>18280</v>
      </c>
      <c r="AA5" s="71">
        <f t="shared" si="5"/>
        <v>16309</v>
      </c>
      <c r="AB5" s="27"/>
      <c r="AR5" s="1"/>
      <c r="AT5" s="69"/>
      <c r="AU5" s="1"/>
      <c r="AV5" s="157"/>
      <c r="AW5" s="157"/>
      <c r="AX5" s="157"/>
      <c r="AY5" s="157"/>
      <c r="AZ5" s="157"/>
      <c r="BA5" s="157"/>
      <c r="BB5" s="157"/>
      <c r="BC5" s="157"/>
    </row>
    <row r="6" spans="1:55">
      <c r="A6" s="104" t="s">
        <v>60</v>
      </c>
      <c r="B6" s="115" t="s">
        <v>148</v>
      </c>
      <c r="C6" s="79">
        <v>22959</v>
      </c>
      <c r="D6" s="73">
        <v>20793</v>
      </c>
      <c r="E6" s="73">
        <v>19806</v>
      </c>
      <c r="F6" s="73">
        <v>22851</v>
      </c>
      <c r="G6" s="71">
        <v>28398</v>
      </c>
      <c r="H6" s="71">
        <v>29372</v>
      </c>
      <c r="I6" s="71">
        <v>30169</v>
      </c>
      <c r="J6" s="71">
        <v>30426</v>
      </c>
      <c r="K6" s="71">
        <v>35420</v>
      </c>
      <c r="L6" s="71">
        <v>35718</v>
      </c>
      <c r="M6" s="71">
        <v>33543</v>
      </c>
      <c r="N6" s="71">
        <v>35768</v>
      </c>
      <c r="O6" s="71">
        <v>38715</v>
      </c>
      <c r="P6" s="71">
        <v>36221</v>
      </c>
      <c r="Q6" s="71">
        <v>37947</v>
      </c>
      <c r="R6" s="71">
        <v>40332</v>
      </c>
      <c r="S6" s="71">
        <v>41547</v>
      </c>
      <c r="T6" s="71">
        <f t="shared" si="0"/>
        <v>40044</v>
      </c>
      <c r="U6" s="71">
        <f t="shared" si="1"/>
        <v>39864</v>
      </c>
      <c r="V6" s="71">
        <f t="shared" si="1"/>
        <v>45093</v>
      </c>
      <c r="W6" s="71">
        <f t="shared" si="2"/>
        <v>44454</v>
      </c>
      <c r="X6" s="71">
        <f t="shared" si="3"/>
        <v>46671</v>
      </c>
      <c r="Y6" s="71">
        <f t="shared" si="4"/>
        <v>55852</v>
      </c>
      <c r="Z6" s="71">
        <f t="shared" si="4"/>
        <v>56562</v>
      </c>
      <c r="AA6" s="71">
        <f t="shared" si="5"/>
        <v>49401</v>
      </c>
      <c r="AB6" s="27"/>
      <c r="AR6" s="1"/>
      <c r="AT6" s="69"/>
      <c r="AU6" s="1"/>
      <c r="BC6" s="69"/>
    </row>
    <row r="7" spans="1:55">
      <c r="A7" s="104" t="s">
        <v>61</v>
      </c>
      <c r="B7" s="115" t="s">
        <v>149</v>
      </c>
      <c r="C7" s="79">
        <v>3602</v>
      </c>
      <c r="D7" s="73">
        <v>3120</v>
      </c>
      <c r="E7" s="73">
        <v>2991</v>
      </c>
      <c r="F7" s="73">
        <v>3066</v>
      </c>
      <c r="G7" s="71">
        <v>3576</v>
      </c>
      <c r="H7" s="71">
        <v>3019</v>
      </c>
      <c r="I7" s="71">
        <v>2902</v>
      </c>
      <c r="J7" s="71">
        <v>3020</v>
      </c>
      <c r="K7" s="71">
        <v>3748</v>
      </c>
      <c r="L7" s="71">
        <v>2921</v>
      </c>
      <c r="M7" s="71">
        <v>2617</v>
      </c>
      <c r="N7" s="71">
        <v>2975</v>
      </c>
      <c r="O7" s="71">
        <v>3640</v>
      </c>
      <c r="P7" s="71">
        <v>2899</v>
      </c>
      <c r="Q7" s="71">
        <v>2871</v>
      </c>
      <c r="R7" s="71">
        <v>2748</v>
      </c>
      <c r="S7" s="71">
        <v>3810</v>
      </c>
      <c r="T7" s="71">
        <f t="shared" si="0"/>
        <v>3355</v>
      </c>
      <c r="U7" s="71">
        <f t="shared" si="1"/>
        <v>3610</v>
      </c>
      <c r="V7" s="71">
        <f t="shared" si="1"/>
        <v>4397</v>
      </c>
      <c r="W7" s="71">
        <f t="shared" si="2"/>
        <v>3569</v>
      </c>
      <c r="X7" s="71">
        <f t="shared" si="3"/>
        <v>3169</v>
      </c>
      <c r="Y7" s="71">
        <f t="shared" si="4"/>
        <v>3523</v>
      </c>
      <c r="Z7" s="71">
        <f t="shared" si="4"/>
        <v>3537</v>
      </c>
      <c r="AA7" s="71">
        <f t="shared" si="5"/>
        <v>3773</v>
      </c>
      <c r="AB7" s="27"/>
      <c r="AR7" s="1"/>
      <c r="AT7" s="69"/>
      <c r="AU7" s="1"/>
      <c r="BC7" s="69"/>
    </row>
    <row r="8" spans="1:55">
      <c r="A8" s="104" t="s">
        <v>62</v>
      </c>
      <c r="B8" s="115" t="s">
        <v>150</v>
      </c>
      <c r="C8" s="79">
        <v>50299</v>
      </c>
      <c r="D8" s="73">
        <v>53692</v>
      </c>
      <c r="E8" s="73">
        <v>39535</v>
      </c>
      <c r="F8" s="73">
        <v>39491</v>
      </c>
      <c r="G8" s="71">
        <v>32451</v>
      </c>
      <c r="H8" s="71">
        <v>33420</v>
      </c>
      <c r="I8" s="71">
        <v>34524</v>
      </c>
      <c r="J8" s="71">
        <v>34664</v>
      </c>
      <c r="K8" s="71">
        <v>34377</v>
      </c>
      <c r="L8" s="71">
        <v>36490</v>
      </c>
      <c r="M8" s="71">
        <v>38761</v>
      </c>
      <c r="N8" s="71">
        <v>38188</v>
      </c>
      <c r="O8" s="71">
        <v>38042</v>
      </c>
      <c r="P8" s="71">
        <v>40616</v>
      </c>
      <c r="Q8" s="71">
        <v>41998</v>
      </c>
      <c r="R8" s="71">
        <v>41423</v>
      </c>
      <c r="S8" s="71">
        <v>40386</v>
      </c>
      <c r="T8" s="71">
        <f t="shared" si="0"/>
        <v>43509</v>
      </c>
      <c r="U8" s="71">
        <f t="shared" si="1"/>
        <v>46081</v>
      </c>
      <c r="V8" s="71">
        <f t="shared" si="1"/>
        <v>47768</v>
      </c>
      <c r="W8" s="71">
        <f t="shared" si="2"/>
        <v>45520</v>
      </c>
      <c r="X8" s="71">
        <f t="shared" si="3"/>
        <v>51665</v>
      </c>
      <c r="Y8" s="71">
        <f t="shared" si="4"/>
        <v>58459</v>
      </c>
      <c r="Z8" s="71">
        <f t="shared" si="4"/>
        <v>58408</v>
      </c>
      <c r="AA8" s="71">
        <f t="shared" si="5"/>
        <v>55560</v>
      </c>
      <c r="AB8" s="27"/>
      <c r="AR8" s="1"/>
      <c r="AT8" s="69"/>
      <c r="AU8" s="1"/>
      <c r="BC8" s="69"/>
    </row>
    <row r="9" spans="1:55">
      <c r="A9" s="104" t="s">
        <v>63</v>
      </c>
      <c r="B9" s="115" t="s">
        <v>151</v>
      </c>
      <c r="C9" s="79">
        <v>12465</v>
      </c>
      <c r="D9" s="73">
        <v>23605</v>
      </c>
      <c r="E9" s="73">
        <v>24738</v>
      </c>
      <c r="F9" s="73">
        <v>15358</v>
      </c>
      <c r="G9" s="71">
        <v>27072</v>
      </c>
      <c r="H9" s="71">
        <v>13956</v>
      </c>
      <c r="I9" s="71">
        <v>21336</v>
      </c>
      <c r="J9" s="71">
        <v>21033</v>
      </c>
      <c r="K9" s="71">
        <v>11666</v>
      </c>
      <c r="L9" s="71">
        <v>14034</v>
      </c>
      <c r="M9" s="71">
        <v>19731</v>
      </c>
      <c r="N9" s="71">
        <v>22021</v>
      </c>
      <c r="O9" s="71">
        <v>24736</v>
      </c>
      <c r="P9" s="71">
        <v>24168</v>
      </c>
      <c r="Q9" s="71">
        <v>24620</v>
      </c>
      <c r="R9" s="71">
        <v>25075</v>
      </c>
      <c r="S9" s="71">
        <v>29978</v>
      </c>
      <c r="T9" s="71">
        <f t="shared" si="0"/>
        <v>23978</v>
      </c>
      <c r="U9" s="71">
        <f t="shared" si="1"/>
        <v>24643</v>
      </c>
      <c r="V9" s="71">
        <f t="shared" si="1"/>
        <v>24134</v>
      </c>
      <c r="W9" s="71">
        <f t="shared" si="2"/>
        <v>26699</v>
      </c>
      <c r="X9" s="71">
        <f t="shared" si="3"/>
        <v>36039</v>
      </c>
      <c r="Y9" s="71">
        <f t="shared" si="4"/>
        <v>36095</v>
      </c>
      <c r="Z9" s="71">
        <f t="shared" si="4"/>
        <v>39513</v>
      </c>
      <c r="AA9" s="71">
        <f t="shared" si="5"/>
        <v>57167</v>
      </c>
      <c r="AB9" s="27"/>
      <c r="AR9" s="1"/>
      <c r="AT9" s="69"/>
      <c r="AU9" s="1"/>
      <c r="BC9" s="69"/>
    </row>
    <row r="10" spans="1:55" ht="24">
      <c r="A10" s="104" t="s">
        <v>64</v>
      </c>
      <c r="B10" s="115" t="s">
        <v>152</v>
      </c>
      <c r="C10" s="79">
        <v>21569</v>
      </c>
      <c r="D10" s="73">
        <v>20269</v>
      </c>
      <c r="E10" s="73">
        <v>21561</v>
      </c>
      <c r="F10" s="73">
        <v>20389</v>
      </c>
      <c r="G10" s="71">
        <v>22217</v>
      </c>
      <c r="H10" s="71">
        <v>28392</v>
      </c>
      <c r="I10" s="71">
        <v>22227</v>
      </c>
      <c r="J10" s="71">
        <v>14547</v>
      </c>
      <c r="K10" s="71">
        <v>14266</v>
      </c>
      <c r="L10" s="71">
        <v>17032</v>
      </c>
      <c r="M10" s="71">
        <v>20989</v>
      </c>
      <c r="N10" s="71">
        <v>21328</v>
      </c>
      <c r="O10" s="71">
        <v>23562</v>
      </c>
      <c r="P10" s="71">
        <v>22214</v>
      </c>
      <c r="Q10" s="71">
        <v>21602</v>
      </c>
      <c r="R10" s="71">
        <v>21834</v>
      </c>
      <c r="S10" s="71">
        <v>17636</v>
      </c>
      <c r="T10" s="71">
        <f t="shared" si="0"/>
        <v>19126</v>
      </c>
      <c r="U10" s="71">
        <f t="shared" si="1"/>
        <v>18625</v>
      </c>
      <c r="V10" s="71">
        <f t="shared" si="1"/>
        <v>13228</v>
      </c>
      <c r="W10" s="71">
        <f t="shared" si="2"/>
        <v>14894</v>
      </c>
      <c r="X10" s="71">
        <f t="shared" si="3"/>
        <v>15943</v>
      </c>
      <c r="Y10" s="71">
        <f t="shared" si="4"/>
        <v>15362</v>
      </c>
      <c r="Z10" s="71">
        <f t="shared" si="4"/>
        <v>14476</v>
      </c>
      <c r="AA10" s="71">
        <f t="shared" si="5"/>
        <v>14432</v>
      </c>
      <c r="AB10" s="27"/>
      <c r="AR10" s="1"/>
      <c r="AT10" s="69"/>
      <c r="AU10" s="1"/>
      <c r="BC10" s="69"/>
    </row>
    <row r="11" spans="1:55">
      <c r="A11" s="104" t="s">
        <v>65</v>
      </c>
      <c r="B11" s="115" t="s">
        <v>153</v>
      </c>
      <c r="C11" s="79">
        <v>5717</v>
      </c>
      <c r="D11" s="73">
        <v>4482</v>
      </c>
      <c r="E11" s="73">
        <v>4554</v>
      </c>
      <c r="F11" s="73">
        <v>4861</v>
      </c>
      <c r="G11" s="71">
        <v>6544</v>
      </c>
      <c r="H11" s="71">
        <v>4320</v>
      </c>
      <c r="I11" s="71">
        <v>4598</v>
      </c>
      <c r="J11" s="71">
        <v>5003</v>
      </c>
      <c r="K11" s="71">
        <v>4387</v>
      </c>
      <c r="L11" s="71">
        <v>5003</v>
      </c>
      <c r="M11" s="71">
        <v>5079</v>
      </c>
      <c r="N11" s="71">
        <v>5845</v>
      </c>
      <c r="O11" s="71">
        <v>5847</v>
      </c>
      <c r="P11" s="71">
        <v>5044</v>
      </c>
      <c r="Q11" s="71">
        <v>4853</v>
      </c>
      <c r="R11" s="71">
        <v>6005</v>
      </c>
      <c r="S11" s="71">
        <v>4884</v>
      </c>
      <c r="T11" s="71">
        <f t="shared" si="0"/>
        <v>4787</v>
      </c>
      <c r="U11" s="71">
        <f t="shared" si="1"/>
        <v>4235</v>
      </c>
      <c r="V11" s="71">
        <f t="shared" si="1"/>
        <v>3854</v>
      </c>
      <c r="W11" s="71">
        <f t="shared" si="2"/>
        <v>3576</v>
      </c>
      <c r="X11" s="71">
        <f t="shared" si="3"/>
        <v>3178</v>
      </c>
      <c r="Y11" s="71">
        <f t="shared" si="4"/>
        <v>3230</v>
      </c>
      <c r="Z11" s="71">
        <f t="shared" si="4"/>
        <v>3377</v>
      </c>
      <c r="AA11" s="71">
        <f t="shared" si="5"/>
        <v>4431</v>
      </c>
      <c r="AB11" s="27"/>
      <c r="AR11" s="1"/>
      <c r="AT11" s="69"/>
      <c r="AU11" s="1"/>
      <c r="BC11" s="69"/>
    </row>
    <row r="12" spans="1:55" ht="24">
      <c r="A12" s="104" t="s">
        <v>66</v>
      </c>
      <c r="B12" s="115" t="s">
        <v>154</v>
      </c>
      <c r="C12" s="79">
        <v>20823</v>
      </c>
      <c r="D12" s="73">
        <v>20611</v>
      </c>
      <c r="E12" s="73">
        <v>20616</v>
      </c>
      <c r="F12" s="73">
        <v>20383</v>
      </c>
      <c r="G12" s="71">
        <v>20487</v>
      </c>
      <c r="H12" s="71">
        <v>22878</v>
      </c>
      <c r="I12" s="71">
        <v>22245</v>
      </c>
      <c r="J12" s="71">
        <v>21345</v>
      </c>
      <c r="K12" s="71">
        <v>19587</v>
      </c>
      <c r="L12" s="71">
        <v>19777</v>
      </c>
      <c r="M12" s="71">
        <v>19934</v>
      </c>
      <c r="N12" s="71">
        <v>20429</v>
      </c>
      <c r="O12" s="71">
        <v>21030</v>
      </c>
      <c r="P12" s="71">
        <v>22877</v>
      </c>
      <c r="Q12" s="71">
        <v>24181</v>
      </c>
      <c r="R12" s="71">
        <v>24488</v>
      </c>
      <c r="S12" s="71">
        <v>24013</v>
      </c>
      <c r="T12" s="71">
        <f t="shared" si="0"/>
        <v>23604</v>
      </c>
      <c r="U12" s="71">
        <f t="shared" si="1"/>
        <v>21518</v>
      </c>
      <c r="V12" s="71">
        <f t="shared" si="1"/>
        <v>18981</v>
      </c>
      <c r="W12" s="71">
        <f t="shared" si="2"/>
        <v>18341</v>
      </c>
      <c r="X12" s="71">
        <f t="shared" si="3"/>
        <v>19111</v>
      </c>
      <c r="Y12" s="71">
        <f t="shared" si="4"/>
        <v>19189</v>
      </c>
      <c r="Z12" s="71">
        <f t="shared" si="4"/>
        <v>19025</v>
      </c>
      <c r="AA12" s="71">
        <f t="shared" si="5"/>
        <v>17565</v>
      </c>
      <c r="AB12" s="27"/>
      <c r="AR12" s="1"/>
      <c r="AT12" s="69"/>
      <c r="AU12" s="1"/>
      <c r="BC12" s="69"/>
    </row>
    <row r="13" spans="1:55" ht="12.5" thickBot="1">
      <c r="A13" s="104" t="s">
        <v>67</v>
      </c>
      <c r="B13" s="115" t="s">
        <v>155</v>
      </c>
      <c r="C13" s="80">
        <v>2843</v>
      </c>
      <c r="D13" s="73">
        <v>2832</v>
      </c>
      <c r="E13" s="73">
        <v>2854</v>
      </c>
      <c r="F13" s="73">
        <v>2803</v>
      </c>
      <c r="G13" s="71">
        <v>3470</v>
      </c>
      <c r="H13" s="71">
        <v>3826</v>
      </c>
      <c r="I13" s="71">
        <v>3425</v>
      </c>
      <c r="J13" s="71">
        <v>5665</v>
      </c>
      <c r="K13" s="71">
        <v>5400</v>
      </c>
      <c r="L13" s="71">
        <v>3767</v>
      </c>
      <c r="M13" s="71">
        <v>4778</v>
      </c>
      <c r="N13" s="71">
        <v>7222</v>
      </c>
      <c r="O13" s="71">
        <v>6892</v>
      </c>
      <c r="P13" s="71">
        <v>7145</v>
      </c>
      <c r="Q13" s="71">
        <v>8008</v>
      </c>
      <c r="R13" s="71">
        <v>6747</v>
      </c>
      <c r="S13" s="71">
        <v>7807</v>
      </c>
      <c r="T13" s="71">
        <f t="shared" si="0"/>
        <v>7781</v>
      </c>
      <c r="U13" s="71">
        <f t="shared" si="1"/>
        <v>7879</v>
      </c>
      <c r="V13" s="71">
        <f t="shared" si="1"/>
        <v>9372</v>
      </c>
      <c r="W13" s="71">
        <f t="shared" si="2"/>
        <v>8048</v>
      </c>
      <c r="X13" s="71">
        <f t="shared" si="3"/>
        <v>7756</v>
      </c>
      <c r="Y13" s="71">
        <f t="shared" si="4"/>
        <v>7706</v>
      </c>
      <c r="Z13" s="71">
        <f t="shared" si="4"/>
        <v>6921</v>
      </c>
      <c r="AA13" s="71">
        <f t="shared" si="5"/>
        <v>9304</v>
      </c>
      <c r="AE13" s="27"/>
      <c r="AF13" s="27"/>
      <c r="AG13" s="27"/>
      <c r="AH13" s="27"/>
      <c r="AR13" s="1"/>
      <c r="AT13" s="69"/>
      <c r="AU13" s="1"/>
      <c r="BC13" s="69"/>
    </row>
    <row r="14" spans="1:55" ht="12.5" thickBot="1">
      <c r="A14" s="108" t="s">
        <v>68</v>
      </c>
      <c r="B14" s="116" t="s">
        <v>156</v>
      </c>
      <c r="C14" s="2">
        <v>174839</v>
      </c>
      <c r="D14" s="2">
        <v>184587</v>
      </c>
      <c r="E14" s="2">
        <v>171809</v>
      </c>
      <c r="F14" s="2">
        <v>164086</v>
      </c>
      <c r="G14" s="2">
        <v>177814</v>
      </c>
      <c r="H14" s="2">
        <v>173169</v>
      </c>
      <c r="I14" s="2">
        <v>176385</v>
      </c>
      <c r="J14" s="2">
        <v>168912</v>
      </c>
      <c r="K14" s="2">
        <v>161382</v>
      </c>
      <c r="L14" s="2">
        <v>168941</v>
      </c>
      <c r="M14" s="2">
        <f>SUM(M4:M13)</f>
        <v>179239</v>
      </c>
      <c r="N14" s="2">
        <f>SUM(N4:N13)</f>
        <v>188445</v>
      </c>
      <c r="O14" s="2">
        <v>196098</v>
      </c>
      <c r="P14" s="2">
        <v>196164</v>
      </c>
      <c r="Q14" s="2">
        <v>201064</v>
      </c>
      <c r="R14" s="2">
        <v>205962</v>
      </c>
      <c r="S14" s="2">
        <v>209202</v>
      </c>
      <c r="T14" s="2">
        <f t="shared" ref="T14:Y14" si="6">SUM(T4:T13)</f>
        <v>205359</v>
      </c>
      <c r="U14" s="2">
        <f t="shared" si="6"/>
        <v>205347</v>
      </c>
      <c r="V14" s="2">
        <f t="shared" si="6"/>
        <v>204337</v>
      </c>
      <c r="W14" s="2">
        <f t="shared" si="6"/>
        <v>201530</v>
      </c>
      <c r="X14" s="2">
        <f t="shared" si="6"/>
        <v>221297</v>
      </c>
      <c r="Y14" s="2">
        <f t="shared" si="6"/>
        <v>238271</v>
      </c>
      <c r="Z14" s="2">
        <f>SUM(Z4:Z13)</f>
        <v>238789</v>
      </c>
      <c r="AA14" s="2">
        <f>SUM(AA4:AA13)</f>
        <v>247669</v>
      </c>
      <c r="AE14" s="27"/>
      <c r="AF14" s="27"/>
      <c r="AG14" s="27"/>
      <c r="AH14" s="27"/>
      <c r="AI14" s="27"/>
      <c r="AJ14" s="27"/>
      <c r="AK14" s="27"/>
      <c r="AR14" s="1"/>
      <c r="AT14" s="69"/>
      <c r="AU14" s="1"/>
      <c r="BC14" s="69"/>
    </row>
    <row r="15" spans="1:55">
      <c r="A15" s="1"/>
      <c r="AE15" s="27"/>
      <c r="AF15" s="27"/>
      <c r="AG15" s="27"/>
      <c r="AH15" s="27"/>
      <c r="AR15" s="1"/>
      <c r="AT15" s="69"/>
      <c r="AU15" s="1"/>
      <c r="BC15" s="69"/>
    </row>
    <row r="16" spans="1:55" s="207" customFormat="1" ht="24.5" thickBot="1">
      <c r="A16" s="187" t="s">
        <v>516</v>
      </c>
      <c r="B16" s="187" t="s">
        <v>171</v>
      </c>
      <c r="C16" s="205" t="s">
        <v>189</v>
      </c>
      <c r="D16" s="205" t="s">
        <v>191</v>
      </c>
      <c r="E16" s="205" t="s">
        <v>197</v>
      </c>
      <c r="F16" s="205" t="s">
        <v>215</v>
      </c>
      <c r="G16" s="205" t="s">
        <v>219</v>
      </c>
      <c r="H16" s="205" t="s">
        <v>237</v>
      </c>
      <c r="I16" s="205" t="s">
        <v>240</v>
      </c>
      <c r="J16" s="205" t="s">
        <v>243</v>
      </c>
      <c r="K16" s="205" t="s">
        <v>245</v>
      </c>
      <c r="L16" s="205" t="s">
        <v>253</v>
      </c>
      <c r="M16" s="205" t="s">
        <v>256</v>
      </c>
      <c r="N16" s="205" t="s">
        <v>260</v>
      </c>
      <c r="O16" s="205" t="s">
        <v>262</v>
      </c>
      <c r="P16" s="205" t="s">
        <v>273</v>
      </c>
      <c r="Q16" s="205" t="s">
        <v>276</v>
      </c>
      <c r="R16" s="205" t="s">
        <v>283</v>
      </c>
      <c r="S16" s="205" t="s">
        <v>285</v>
      </c>
      <c r="T16" s="205" t="s">
        <v>366</v>
      </c>
      <c r="U16" s="205" t="s">
        <v>414</v>
      </c>
      <c r="V16" s="205" t="s">
        <v>419</v>
      </c>
      <c r="W16" s="205" t="s">
        <v>422</v>
      </c>
      <c r="X16" s="205" t="s">
        <v>432</v>
      </c>
      <c r="Y16" s="205" t="s">
        <v>436</v>
      </c>
      <c r="Z16" s="205" t="s">
        <v>445</v>
      </c>
      <c r="AA16" s="205" t="s">
        <v>527</v>
      </c>
      <c r="AE16" s="215"/>
      <c r="AF16" s="215"/>
      <c r="AG16" s="215"/>
      <c r="AH16" s="215"/>
      <c r="AS16" s="216"/>
      <c r="AT16" s="216"/>
      <c r="AV16" s="216"/>
      <c r="AW16" s="216"/>
      <c r="AX16" s="216"/>
      <c r="AY16" s="216"/>
      <c r="AZ16" s="216"/>
      <c r="BA16" s="216"/>
      <c r="BB16" s="216"/>
      <c r="BC16" s="216"/>
    </row>
    <row r="17" spans="1:55">
      <c r="A17" s="104" t="s">
        <v>59</v>
      </c>
      <c r="B17" s="114" t="s">
        <v>146</v>
      </c>
      <c r="C17" s="74">
        <v>-296</v>
      </c>
      <c r="D17" s="74">
        <v>-355</v>
      </c>
      <c r="E17" s="74">
        <v>-354</v>
      </c>
      <c r="F17" s="74">
        <v>-452</v>
      </c>
      <c r="G17" s="74">
        <v>-253</v>
      </c>
      <c r="H17" s="74">
        <v>-341</v>
      </c>
      <c r="I17" s="74">
        <v>-328</v>
      </c>
      <c r="J17" s="74">
        <v>-400</v>
      </c>
      <c r="K17" s="74">
        <v>-269</v>
      </c>
      <c r="L17" s="74">
        <v>-365</v>
      </c>
      <c r="M17" s="74">
        <v>-367</v>
      </c>
      <c r="N17" s="74">
        <v>-499</v>
      </c>
      <c r="O17" s="74">
        <v>-328</v>
      </c>
      <c r="P17" s="74">
        <v>-405</v>
      </c>
      <c r="Q17" s="74">
        <v>-437</v>
      </c>
      <c r="R17" s="74">
        <v>-493</v>
      </c>
      <c r="S17" s="74">
        <v>-389</v>
      </c>
      <c r="T17" s="74">
        <f>+T58-S17</f>
        <v>-481</v>
      </c>
      <c r="U17" s="74">
        <f t="shared" ref="U17:V19" si="7">+U58-T58</f>
        <v>-455</v>
      </c>
      <c r="V17" s="74">
        <f t="shared" si="7"/>
        <v>-597</v>
      </c>
      <c r="W17" s="74">
        <f>+W58</f>
        <v>-418</v>
      </c>
      <c r="X17" s="74">
        <f>+X58-W17</f>
        <v>-502</v>
      </c>
      <c r="Y17" s="74">
        <f t="shared" ref="Y17:Z19" si="8">+Y58-X58</f>
        <v>-715</v>
      </c>
      <c r="Z17" s="74">
        <f t="shared" si="8"/>
        <v>-714</v>
      </c>
      <c r="AA17" s="74">
        <f t="shared" ref="AA17:AA26" si="9">+AA58</f>
        <v>-757</v>
      </c>
      <c r="AE17" s="27"/>
      <c r="AF17" s="27"/>
      <c r="AG17" s="27"/>
      <c r="AH17" s="27"/>
      <c r="AR17" s="1"/>
      <c r="AT17" s="69"/>
      <c r="AU17" s="1"/>
      <c r="BC17" s="69"/>
    </row>
    <row r="18" spans="1:55" ht="24">
      <c r="A18" s="104" t="s">
        <v>69</v>
      </c>
      <c r="B18" s="115" t="s">
        <v>147</v>
      </c>
      <c r="C18" s="71">
        <v>-458</v>
      </c>
      <c r="D18" s="71">
        <v>-284</v>
      </c>
      <c r="E18" s="71">
        <v>-403</v>
      </c>
      <c r="F18" s="71">
        <v>-360</v>
      </c>
      <c r="G18" s="71">
        <v>-431</v>
      </c>
      <c r="H18" s="71">
        <v>-486</v>
      </c>
      <c r="I18" s="71">
        <v>-525</v>
      </c>
      <c r="J18" s="71">
        <v>-509</v>
      </c>
      <c r="K18" s="71">
        <v>-495</v>
      </c>
      <c r="L18" s="71">
        <v>-557</v>
      </c>
      <c r="M18" s="71">
        <v>-562</v>
      </c>
      <c r="N18" s="71">
        <v>-710</v>
      </c>
      <c r="O18" s="71">
        <v>-680</v>
      </c>
      <c r="P18" s="71">
        <v>-918</v>
      </c>
      <c r="Q18" s="71">
        <v>-1048</v>
      </c>
      <c r="R18" s="71">
        <v>-1394</v>
      </c>
      <c r="S18" s="71">
        <v>-1189</v>
      </c>
      <c r="T18" s="71">
        <f>+T59-S18</f>
        <v>-1518</v>
      </c>
      <c r="U18" s="71">
        <f t="shared" si="7"/>
        <v>-1376</v>
      </c>
      <c r="V18" s="71">
        <f t="shared" si="7"/>
        <v>-1324</v>
      </c>
      <c r="W18" s="71">
        <f>+W59</f>
        <v>-882</v>
      </c>
      <c r="X18" s="71">
        <f>+X59-W18</f>
        <v>-876</v>
      </c>
      <c r="Y18" s="71">
        <f t="shared" si="8"/>
        <v>-904</v>
      </c>
      <c r="Z18" s="71">
        <f t="shared" si="8"/>
        <v>-1421</v>
      </c>
      <c r="AA18" s="71">
        <f t="shared" si="9"/>
        <v>-884</v>
      </c>
      <c r="AE18" s="27"/>
      <c r="AF18" s="27"/>
      <c r="AG18" s="27"/>
      <c r="AH18" s="27"/>
      <c r="AR18" s="1"/>
      <c r="AT18" s="69"/>
      <c r="AU18" s="1"/>
      <c r="BC18" s="69"/>
    </row>
    <row r="19" spans="1:55">
      <c r="A19" s="104" t="s">
        <v>60</v>
      </c>
      <c r="B19" s="115" t="s">
        <v>148</v>
      </c>
      <c r="C19" s="71">
        <v>-3581</v>
      </c>
      <c r="D19" s="71">
        <v>-3851</v>
      </c>
      <c r="E19" s="71">
        <v>-3485</v>
      </c>
      <c r="F19" s="71">
        <v>-3619</v>
      </c>
      <c r="G19" s="71">
        <v>-3165</v>
      </c>
      <c r="H19" s="71">
        <v>-5927</v>
      </c>
      <c r="I19" s="71">
        <v>-3982</v>
      </c>
      <c r="J19" s="71">
        <v>-5411</v>
      </c>
      <c r="K19" s="71">
        <v>-4394</v>
      </c>
      <c r="L19" s="71">
        <v>-6218</v>
      </c>
      <c r="M19" s="71">
        <v>-4228</v>
      </c>
      <c r="N19" s="71">
        <v>-4488</v>
      </c>
      <c r="O19" s="71">
        <v>-4081</v>
      </c>
      <c r="P19" s="71">
        <v>-4606</v>
      </c>
      <c r="Q19" s="71">
        <v>-5165</v>
      </c>
      <c r="R19" s="71">
        <v>-7084</v>
      </c>
      <c r="S19" s="71">
        <v>-6925</v>
      </c>
      <c r="T19" s="71">
        <f>+T60-S19</f>
        <v>-7441</v>
      </c>
      <c r="U19" s="71">
        <f t="shared" si="7"/>
        <v>-8096</v>
      </c>
      <c r="V19" s="71">
        <f t="shared" si="7"/>
        <v>-8392</v>
      </c>
      <c r="W19" s="71">
        <f>+W60</f>
        <v>-8190</v>
      </c>
      <c r="X19" s="71">
        <f>+X60-W19</f>
        <v>-10094</v>
      </c>
      <c r="Y19" s="71">
        <f t="shared" si="8"/>
        <v>-14352</v>
      </c>
      <c r="Z19" s="71">
        <f t="shared" si="8"/>
        <v>-9951</v>
      </c>
      <c r="AA19" s="71">
        <f t="shared" si="9"/>
        <v>-13609</v>
      </c>
      <c r="AE19" s="27"/>
      <c r="AF19" s="27"/>
      <c r="AG19" s="27"/>
      <c r="AH19" s="27"/>
      <c r="AR19" s="1"/>
      <c r="AT19" s="69"/>
      <c r="AU19" s="1"/>
      <c r="BC19" s="69"/>
    </row>
    <row r="20" spans="1:55">
      <c r="A20" s="104"/>
      <c r="B20" s="115"/>
      <c r="C20" s="71"/>
      <c r="D20" s="71"/>
      <c r="E20" s="71"/>
      <c r="F20" s="71"/>
      <c r="G20" s="71"/>
      <c r="H20" s="71"/>
      <c r="I20" s="71"/>
      <c r="J20" s="71"/>
      <c r="K20" s="71"/>
      <c r="L20" s="71"/>
      <c r="M20" s="71"/>
      <c r="N20" s="71"/>
      <c r="O20" s="71"/>
      <c r="P20" s="71"/>
      <c r="Q20" s="71">
        <v>0</v>
      </c>
      <c r="R20" s="71"/>
      <c r="S20" s="71"/>
      <c r="T20" s="71"/>
      <c r="U20" s="71"/>
      <c r="V20" s="71"/>
      <c r="W20" s="71"/>
      <c r="X20" s="71"/>
      <c r="Y20" s="71"/>
      <c r="Z20" s="71"/>
      <c r="AA20" s="71">
        <f t="shared" si="9"/>
        <v>0</v>
      </c>
      <c r="AE20" s="27"/>
      <c r="AF20" s="27"/>
      <c r="AG20" s="27"/>
      <c r="AH20" s="27"/>
      <c r="AR20" s="1"/>
      <c r="AT20" s="69"/>
      <c r="AU20" s="1"/>
      <c r="BC20" s="69"/>
    </row>
    <row r="21" spans="1:55">
      <c r="A21" s="104" t="s">
        <v>62</v>
      </c>
      <c r="B21" s="115" t="s">
        <v>150</v>
      </c>
      <c r="C21" s="71">
        <v>-12451</v>
      </c>
      <c r="D21" s="71">
        <v>-14313</v>
      </c>
      <c r="E21" s="71">
        <v>-13849</v>
      </c>
      <c r="F21" s="71">
        <v>-14022</v>
      </c>
      <c r="G21" s="71">
        <v>-13881</v>
      </c>
      <c r="H21" s="71">
        <v>-14844</v>
      </c>
      <c r="I21" s="71">
        <v>-15795</v>
      </c>
      <c r="J21" s="71">
        <v>-15830</v>
      </c>
      <c r="K21" s="71">
        <v>-15775</v>
      </c>
      <c r="L21" s="71">
        <v>-17191</v>
      </c>
      <c r="M21" s="71">
        <v>-18355</v>
      </c>
      <c r="N21" s="71">
        <v>-17865</v>
      </c>
      <c r="O21" s="71">
        <v>-17380</v>
      </c>
      <c r="P21" s="71">
        <v>-19718</v>
      </c>
      <c r="Q21" s="71">
        <v>-20127</v>
      </c>
      <c r="R21" s="71">
        <v>-20370</v>
      </c>
      <c r="S21" s="71">
        <v>-20515</v>
      </c>
      <c r="T21" s="71">
        <f>+T62-S21</f>
        <v>-23083</v>
      </c>
      <c r="U21" s="71">
        <f>+U62-T62</f>
        <v>-23375</v>
      </c>
      <c r="V21" s="71">
        <f>+V62-U62</f>
        <v>-22324</v>
      </c>
      <c r="W21" s="71">
        <f>+W62</f>
        <v>-21486</v>
      </c>
      <c r="X21" s="71">
        <f>+X62-W21</f>
        <v>-26505</v>
      </c>
      <c r="Y21" s="71">
        <f>+Y62-X62</f>
        <v>-34304</v>
      </c>
      <c r="Z21" s="71">
        <f>+Z62-Y62</f>
        <v>-32962</v>
      </c>
      <c r="AA21" s="71">
        <f t="shared" si="9"/>
        <v>-27601</v>
      </c>
      <c r="AE21" s="27"/>
      <c r="AF21" s="27"/>
      <c r="AG21" s="27"/>
      <c r="AH21" s="27"/>
      <c r="AR21" s="1"/>
      <c r="AT21" s="69"/>
      <c r="AU21" s="1"/>
      <c r="BC21" s="69"/>
    </row>
    <row r="22" spans="1:55">
      <c r="A22" s="104"/>
      <c r="B22" s="115"/>
      <c r="C22" s="77"/>
      <c r="D22" s="77"/>
      <c r="E22" s="77"/>
      <c r="F22" s="77"/>
      <c r="G22" s="77"/>
      <c r="H22" s="77"/>
      <c r="I22" s="77"/>
      <c r="J22" s="77"/>
      <c r="K22" s="77"/>
      <c r="L22" s="77"/>
      <c r="M22" s="77"/>
      <c r="N22" s="77"/>
      <c r="O22" s="77"/>
      <c r="P22" s="77"/>
      <c r="Q22" s="77">
        <v>0</v>
      </c>
      <c r="R22" s="71"/>
      <c r="S22" s="71"/>
      <c r="T22" s="71"/>
      <c r="U22" s="71"/>
      <c r="V22" s="71"/>
      <c r="W22" s="71"/>
      <c r="X22" s="71"/>
      <c r="Y22" s="71"/>
      <c r="Z22" s="71"/>
      <c r="AA22" s="71">
        <f t="shared" si="9"/>
        <v>0</v>
      </c>
      <c r="AE22" s="27"/>
      <c r="AF22" s="27"/>
      <c r="AG22" s="27"/>
      <c r="AH22" s="27"/>
      <c r="AR22" s="1"/>
      <c r="AT22" s="69"/>
      <c r="AU22" s="1"/>
      <c r="BC22" s="69"/>
    </row>
    <row r="23" spans="1:55">
      <c r="A23" s="104"/>
      <c r="B23" s="115"/>
      <c r="C23" s="71"/>
      <c r="D23" s="71"/>
      <c r="E23" s="71"/>
      <c r="F23" s="71"/>
      <c r="G23" s="71"/>
      <c r="H23" s="71"/>
      <c r="I23" s="71"/>
      <c r="J23" s="71"/>
      <c r="K23" s="71"/>
      <c r="L23" s="71"/>
      <c r="M23" s="71"/>
      <c r="N23" s="71"/>
      <c r="O23" s="71"/>
      <c r="P23" s="71"/>
      <c r="Q23" s="71">
        <v>0</v>
      </c>
      <c r="R23" s="71"/>
      <c r="S23" s="71"/>
      <c r="T23" s="71"/>
      <c r="U23" s="71"/>
      <c r="V23" s="71"/>
      <c r="W23" s="71"/>
      <c r="X23" s="71"/>
      <c r="Y23" s="71"/>
      <c r="Z23" s="71"/>
      <c r="AA23" s="71">
        <f t="shared" si="9"/>
        <v>0</v>
      </c>
      <c r="AE23" s="27"/>
      <c r="AF23" s="27"/>
      <c r="AG23" s="27"/>
      <c r="AH23" s="27"/>
      <c r="AR23" s="1"/>
      <c r="AT23" s="69"/>
      <c r="AU23" s="1"/>
      <c r="BC23" s="69"/>
    </row>
    <row r="24" spans="1:55">
      <c r="A24" s="104" t="s">
        <v>65</v>
      </c>
      <c r="B24" s="115" t="s">
        <v>153</v>
      </c>
      <c r="C24" s="71">
        <v>-952</v>
      </c>
      <c r="D24" s="71">
        <v>-776</v>
      </c>
      <c r="E24" s="71">
        <v>-891</v>
      </c>
      <c r="F24" s="71">
        <v>-747</v>
      </c>
      <c r="G24" s="71">
        <v>-788</v>
      </c>
      <c r="H24" s="71">
        <v>-762</v>
      </c>
      <c r="I24" s="71">
        <v>-850</v>
      </c>
      <c r="J24" s="71">
        <v>-986</v>
      </c>
      <c r="K24" s="71">
        <v>-814</v>
      </c>
      <c r="L24" s="71">
        <v>-855</v>
      </c>
      <c r="M24" s="71">
        <v>-840</v>
      </c>
      <c r="N24" s="71">
        <v>-1088</v>
      </c>
      <c r="O24" s="71">
        <v>-1054</v>
      </c>
      <c r="P24" s="71">
        <v>-872</v>
      </c>
      <c r="Q24" s="71">
        <v>-790</v>
      </c>
      <c r="R24" s="71">
        <v>-796</v>
      </c>
      <c r="S24" s="71">
        <v>-905</v>
      </c>
      <c r="T24" s="71">
        <f>+T65-S24</f>
        <v>-809</v>
      </c>
      <c r="U24" s="71">
        <f t="shared" ref="U24:V26" si="10">+U65-T65</f>
        <v>-746</v>
      </c>
      <c r="V24" s="71">
        <f t="shared" si="10"/>
        <v>-651</v>
      </c>
      <c r="W24" s="71">
        <f>+W65</f>
        <v>-627</v>
      </c>
      <c r="X24" s="71">
        <f>+X65-W24</f>
        <v>-549</v>
      </c>
      <c r="Y24" s="71">
        <f t="shared" ref="Y24:Z26" si="11">+Y65-X65</f>
        <v>-537</v>
      </c>
      <c r="Z24" s="71">
        <f t="shared" si="11"/>
        <v>-549</v>
      </c>
      <c r="AA24" s="71">
        <f t="shared" si="9"/>
        <v>-794</v>
      </c>
      <c r="AE24" s="27"/>
      <c r="AR24" s="1"/>
      <c r="AT24" s="69"/>
      <c r="AU24" s="1"/>
      <c r="BC24" s="69"/>
    </row>
    <row r="25" spans="1:55" ht="24">
      <c r="A25" s="104" t="s">
        <v>66</v>
      </c>
      <c r="B25" s="115" t="s">
        <v>157</v>
      </c>
      <c r="C25" s="71">
        <v>-831</v>
      </c>
      <c r="D25" s="71">
        <v>-1311</v>
      </c>
      <c r="E25" s="71">
        <v>-1131</v>
      </c>
      <c r="F25" s="71">
        <v>-1666</v>
      </c>
      <c r="G25" s="71">
        <v>-1462</v>
      </c>
      <c r="H25" s="71">
        <v>-1920</v>
      </c>
      <c r="I25" s="71">
        <v>-2084</v>
      </c>
      <c r="J25" s="71">
        <v>-2133</v>
      </c>
      <c r="K25" s="71">
        <v>-2153</v>
      </c>
      <c r="L25" s="71">
        <v>-2234</v>
      </c>
      <c r="M25" s="71">
        <v>-2104</v>
      </c>
      <c r="N25" s="71">
        <v>-2176</v>
      </c>
      <c r="O25" s="71">
        <v>-2238</v>
      </c>
      <c r="P25" s="71">
        <v>-2612</v>
      </c>
      <c r="Q25" s="71">
        <v>-2699</v>
      </c>
      <c r="R25" s="71">
        <v>-2694</v>
      </c>
      <c r="S25" s="71">
        <v>-2635</v>
      </c>
      <c r="T25" s="71">
        <f>+T66-S25</f>
        <v>-2529</v>
      </c>
      <c r="U25" s="71">
        <f t="shared" si="10"/>
        <v>-2177</v>
      </c>
      <c r="V25" s="71">
        <f t="shared" si="10"/>
        <v>-2180</v>
      </c>
      <c r="W25" s="71">
        <f>+W66</f>
        <v>-2225</v>
      </c>
      <c r="X25" s="71">
        <f>+X66-W25</f>
        <v>-2148</v>
      </c>
      <c r="Y25" s="71">
        <f t="shared" si="11"/>
        <v>-3201</v>
      </c>
      <c r="Z25" s="71">
        <f t="shared" si="11"/>
        <v>-2735</v>
      </c>
      <c r="AA25" s="71">
        <f t="shared" si="9"/>
        <v>-3068</v>
      </c>
      <c r="AR25" s="1"/>
      <c r="AT25" s="69"/>
      <c r="AU25" s="1"/>
      <c r="BC25" s="69"/>
    </row>
    <row r="26" spans="1:55" ht="12.5" thickBot="1">
      <c r="A26" s="104" t="s">
        <v>67</v>
      </c>
      <c r="B26" s="115" t="s">
        <v>155</v>
      </c>
      <c r="C26" s="71">
        <v>-775</v>
      </c>
      <c r="D26" s="71">
        <v>-608</v>
      </c>
      <c r="E26" s="71">
        <v>-806</v>
      </c>
      <c r="F26" s="71">
        <v>-1021</v>
      </c>
      <c r="G26" s="71">
        <v>-1084</v>
      </c>
      <c r="H26" s="71">
        <v>-1500</v>
      </c>
      <c r="I26" s="71">
        <v>-1234</v>
      </c>
      <c r="J26" s="71">
        <v>-3196</v>
      </c>
      <c r="K26" s="71">
        <v>-3130</v>
      </c>
      <c r="L26" s="71">
        <v>-1737</v>
      </c>
      <c r="M26" s="71">
        <v>-2591</v>
      </c>
      <c r="N26" s="71">
        <v>-4923</v>
      </c>
      <c r="O26" s="71">
        <v>-4220</v>
      </c>
      <c r="P26" s="71">
        <v>-4515</v>
      </c>
      <c r="Q26" s="71">
        <v>-5260</v>
      </c>
      <c r="R26" s="71">
        <v>-3751</v>
      </c>
      <c r="S26" s="71">
        <v>-4140</v>
      </c>
      <c r="T26" s="71">
        <f>+T67-S26</f>
        <v>-5415</v>
      </c>
      <c r="U26" s="71">
        <f t="shared" si="10"/>
        <v>-6209</v>
      </c>
      <c r="V26" s="71">
        <f t="shared" si="10"/>
        <v>-7300</v>
      </c>
      <c r="W26" s="71">
        <f>+W67</f>
        <v>-4528</v>
      </c>
      <c r="X26" s="71">
        <f>+X67-W26</f>
        <v>-5598</v>
      </c>
      <c r="Y26" s="71">
        <f t="shared" si="11"/>
        <v>-5951</v>
      </c>
      <c r="Z26" s="71">
        <f t="shared" si="11"/>
        <v>-7810</v>
      </c>
      <c r="AA26" s="71">
        <f t="shared" si="9"/>
        <v>-6423</v>
      </c>
      <c r="AR26" s="1"/>
      <c r="AT26" s="69"/>
      <c r="AU26" s="1"/>
      <c r="BC26" s="69"/>
    </row>
    <row r="27" spans="1:55" ht="12.5" thickBot="1">
      <c r="A27" s="108" t="s">
        <v>68</v>
      </c>
      <c r="B27" s="116" t="s">
        <v>156</v>
      </c>
      <c r="C27" s="76">
        <v>-19344</v>
      </c>
      <c r="D27" s="76">
        <v>-21498</v>
      </c>
      <c r="E27" s="76">
        <v>-20919</v>
      </c>
      <c r="F27" s="76">
        <v>-21887</v>
      </c>
      <c r="G27" s="76">
        <v>-21064</v>
      </c>
      <c r="H27" s="76">
        <v>-25780</v>
      </c>
      <c r="I27" s="76">
        <v>-24798</v>
      </c>
      <c r="J27" s="76">
        <v>-28465</v>
      </c>
      <c r="K27" s="76">
        <v>-27030</v>
      </c>
      <c r="L27" s="76">
        <v>-29157</v>
      </c>
      <c r="M27" s="76">
        <f>SUM(M17:M26)</f>
        <v>-29047</v>
      </c>
      <c r="N27" s="76">
        <f>SUM(N17:N26)</f>
        <v>-31749</v>
      </c>
      <c r="O27" s="76">
        <v>-29981</v>
      </c>
      <c r="P27" s="76">
        <v>-33646</v>
      </c>
      <c r="Q27" s="76">
        <v>-35526</v>
      </c>
      <c r="R27" s="76">
        <v>-36582</v>
      </c>
      <c r="S27" s="76">
        <v>-36698</v>
      </c>
      <c r="T27" s="76">
        <f t="shared" ref="T27:Y27" si="12">SUM(T17:T26)</f>
        <v>-41276</v>
      </c>
      <c r="U27" s="76">
        <f t="shared" si="12"/>
        <v>-42434</v>
      </c>
      <c r="V27" s="76">
        <f t="shared" si="12"/>
        <v>-42768</v>
      </c>
      <c r="W27" s="76">
        <f t="shared" si="12"/>
        <v>-38356</v>
      </c>
      <c r="X27" s="76">
        <f t="shared" si="12"/>
        <v>-46272</v>
      </c>
      <c r="Y27" s="76">
        <f t="shared" si="12"/>
        <v>-59964</v>
      </c>
      <c r="Z27" s="76">
        <f>SUM(Z17:Z26)</f>
        <v>-56142</v>
      </c>
      <c r="AA27" s="76">
        <f>SUM(AA17:AA26)</f>
        <v>-53136</v>
      </c>
      <c r="AR27" s="1"/>
      <c r="AT27" s="69"/>
      <c r="AU27" s="1"/>
      <c r="BC27" s="69"/>
    </row>
    <row r="28" spans="1:55">
      <c r="A28" s="1"/>
      <c r="AR28" s="1"/>
      <c r="AT28" s="69"/>
      <c r="AU28" s="1"/>
      <c r="BC28" s="69"/>
    </row>
    <row r="29" spans="1:55" s="207" customFormat="1" ht="24.5" thickBot="1">
      <c r="A29" s="187" t="s">
        <v>517</v>
      </c>
      <c r="B29" s="187" t="s">
        <v>169</v>
      </c>
      <c r="C29" s="205" t="s">
        <v>189</v>
      </c>
      <c r="D29" s="205" t="s">
        <v>191</v>
      </c>
      <c r="E29" s="205" t="s">
        <v>197</v>
      </c>
      <c r="F29" s="205" t="s">
        <v>215</v>
      </c>
      <c r="G29" s="205" t="s">
        <v>219</v>
      </c>
      <c r="H29" s="205" t="s">
        <v>237</v>
      </c>
      <c r="I29" s="205" t="s">
        <v>240</v>
      </c>
      <c r="J29" s="205" t="s">
        <v>243</v>
      </c>
      <c r="K29" s="205" t="s">
        <v>245</v>
      </c>
      <c r="L29" s="205" t="s">
        <v>253</v>
      </c>
      <c r="M29" s="205" t="s">
        <v>256</v>
      </c>
      <c r="N29" s="205" t="s">
        <v>260</v>
      </c>
      <c r="O29" s="205" t="s">
        <v>262</v>
      </c>
      <c r="P29" s="205" t="s">
        <v>273</v>
      </c>
      <c r="Q29" s="205" t="s">
        <v>276</v>
      </c>
      <c r="R29" s="205" t="s">
        <v>283</v>
      </c>
      <c r="S29" s="205" t="s">
        <v>285</v>
      </c>
      <c r="T29" s="205" t="s">
        <v>366</v>
      </c>
      <c r="U29" s="205" t="s">
        <v>414</v>
      </c>
      <c r="V29" s="205" t="s">
        <v>419</v>
      </c>
      <c r="W29" s="205" t="s">
        <v>422</v>
      </c>
      <c r="X29" s="205" t="s">
        <v>432</v>
      </c>
      <c r="Y29" s="205" t="s">
        <v>436</v>
      </c>
      <c r="Z29" s="205" t="s">
        <v>445</v>
      </c>
      <c r="AA29" s="205" t="s">
        <v>527</v>
      </c>
      <c r="AS29" s="216"/>
      <c r="AT29" s="216"/>
      <c r="AV29" s="216"/>
      <c r="AW29" s="216"/>
      <c r="AX29" s="216"/>
      <c r="AY29" s="216"/>
      <c r="AZ29" s="216"/>
      <c r="BA29" s="216"/>
      <c r="BB29" s="216"/>
      <c r="BC29" s="216"/>
    </row>
    <row r="30" spans="1:55">
      <c r="A30" s="104" t="s">
        <v>59</v>
      </c>
      <c r="B30" s="114" t="s">
        <v>146</v>
      </c>
      <c r="C30" s="72">
        <v>22932</v>
      </c>
      <c r="D30" s="72">
        <v>23193</v>
      </c>
      <c r="E30" s="72">
        <v>22997</v>
      </c>
      <c r="F30" s="72">
        <v>22368</v>
      </c>
      <c r="G30" s="72">
        <v>21685</v>
      </c>
      <c r="H30" s="72">
        <v>21256</v>
      </c>
      <c r="I30" s="72">
        <v>22158</v>
      </c>
      <c r="J30" s="72">
        <v>19682</v>
      </c>
      <c r="K30" s="72">
        <v>19704</v>
      </c>
      <c r="L30" s="72">
        <v>20315</v>
      </c>
      <c r="M30" s="72">
        <f>M4+M17</f>
        <v>19833</v>
      </c>
      <c r="N30" s="72">
        <f>N4+N17</f>
        <v>19999</v>
      </c>
      <c r="O30" s="72">
        <f t="shared" ref="O30:R39" si="13">O4+O17</f>
        <v>19354</v>
      </c>
      <c r="P30" s="72">
        <f t="shared" si="13"/>
        <v>19285</v>
      </c>
      <c r="Q30" s="72">
        <f t="shared" si="13"/>
        <v>18243</v>
      </c>
      <c r="R30" s="72">
        <f t="shared" si="13"/>
        <v>19168</v>
      </c>
      <c r="S30" s="72">
        <f t="shared" ref="S30:S39" si="14">S4+S17</f>
        <v>20158</v>
      </c>
      <c r="T30" s="72">
        <f t="shared" ref="T30:Y30" si="15">+T4+T17</f>
        <v>20376</v>
      </c>
      <c r="U30" s="72">
        <f t="shared" si="15"/>
        <v>20308</v>
      </c>
      <c r="V30" s="72">
        <f t="shared" si="15"/>
        <v>18272</v>
      </c>
      <c r="W30" s="72">
        <f t="shared" si="15"/>
        <v>18716</v>
      </c>
      <c r="X30" s="72">
        <f t="shared" si="15"/>
        <v>18625</v>
      </c>
      <c r="Y30" s="72">
        <f t="shared" si="15"/>
        <v>19202</v>
      </c>
      <c r="Z30" s="72">
        <f>+Z4+Z17</f>
        <v>17976</v>
      </c>
      <c r="AA30" s="72">
        <f>+AA4+AA17</f>
        <v>18970</v>
      </c>
      <c r="AR30" s="1"/>
      <c r="AT30" s="69"/>
      <c r="AU30" s="1"/>
      <c r="BC30" s="69"/>
    </row>
    <row r="31" spans="1:55" ht="24">
      <c r="A31" s="104" t="s">
        <v>69</v>
      </c>
      <c r="B31" s="115" t="s">
        <v>147</v>
      </c>
      <c r="C31" s="73">
        <v>10876</v>
      </c>
      <c r="D31" s="73">
        <v>11351</v>
      </c>
      <c r="E31" s="73">
        <v>11400</v>
      </c>
      <c r="F31" s="73">
        <v>11704</v>
      </c>
      <c r="G31" s="73">
        <v>11230</v>
      </c>
      <c r="H31" s="73">
        <v>11903</v>
      </c>
      <c r="I31" s="73">
        <v>11948</v>
      </c>
      <c r="J31" s="73">
        <v>12618</v>
      </c>
      <c r="K31" s="73">
        <v>12063</v>
      </c>
      <c r="L31" s="73">
        <v>12962</v>
      </c>
      <c r="M31" s="73">
        <f t="shared" ref="M31:N39" si="16">M5+M18</f>
        <v>13045</v>
      </c>
      <c r="N31" s="73">
        <f t="shared" si="16"/>
        <v>13461</v>
      </c>
      <c r="O31" s="73">
        <f t="shared" si="13"/>
        <v>13272</v>
      </c>
      <c r="P31" s="73">
        <f t="shared" si="13"/>
        <v>14372</v>
      </c>
      <c r="Q31" s="73">
        <f t="shared" si="13"/>
        <v>15256</v>
      </c>
      <c r="R31" s="73">
        <f t="shared" si="13"/>
        <v>16255</v>
      </c>
      <c r="S31" s="73">
        <f t="shared" si="14"/>
        <v>17405</v>
      </c>
      <c r="T31" s="73">
        <f t="shared" ref="T31:U39" si="17">+T5+T18</f>
        <v>16800</v>
      </c>
      <c r="U31" s="73">
        <f t="shared" si="17"/>
        <v>16753</v>
      </c>
      <c r="V31" s="73">
        <f t="shared" ref="V31:X39" si="18">+V5+V18</f>
        <v>17317</v>
      </c>
      <c r="W31" s="73">
        <f t="shared" si="18"/>
        <v>16413</v>
      </c>
      <c r="X31" s="73">
        <f t="shared" si="18"/>
        <v>17762</v>
      </c>
      <c r="Y31" s="73">
        <f t="shared" ref="Y31:Z39" si="19">+Y5+Y18</f>
        <v>18034</v>
      </c>
      <c r="Z31" s="73">
        <f t="shared" si="19"/>
        <v>16859</v>
      </c>
      <c r="AA31" s="73">
        <f t="shared" ref="AA31:AA39" si="20">+AA5+AA18</f>
        <v>15425</v>
      </c>
      <c r="AR31" s="1"/>
      <c r="AT31" s="69"/>
      <c r="AU31" s="1"/>
      <c r="BC31" s="69"/>
    </row>
    <row r="32" spans="1:55">
      <c r="A32" s="104" t="s">
        <v>60</v>
      </c>
      <c r="B32" s="115" t="s">
        <v>148</v>
      </c>
      <c r="C32" s="73">
        <v>19378</v>
      </c>
      <c r="D32" s="73">
        <v>16942</v>
      </c>
      <c r="E32" s="73">
        <v>16321</v>
      </c>
      <c r="F32" s="73">
        <v>19232</v>
      </c>
      <c r="G32" s="73">
        <v>25233</v>
      </c>
      <c r="H32" s="73">
        <v>23445</v>
      </c>
      <c r="I32" s="73">
        <v>26187</v>
      </c>
      <c r="J32" s="73">
        <v>25015</v>
      </c>
      <c r="K32" s="73">
        <v>31026</v>
      </c>
      <c r="L32" s="73">
        <v>29500</v>
      </c>
      <c r="M32" s="73">
        <f t="shared" si="16"/>
        <v>29315</v>
      </c>
      <c r="N32" s="73">
        <f t="shared" si="16"/>
        <v>31280</v>
      </c>
      <c r="O32" s="73">
        <f t="shared" si="13"/>
        <v>34634</v>
      </c>
      <c r="P32" s="73">
        <f t="shared" si="13"/>
        <v>31615</v>
      </c>
      <c r="Q32" s="73">
        <f t="shared" si="13"/>
        <v>32782</v>
      </c>
      <c r="R32" s="73">
        <f t="shared" si="13"/>
        <v>33248</v>
      </c>
      <c r="S32" s="73">
        <f t="shared" si="14"/>
        <v>34622</v>
      </c>
      <c r="T32" s="73">
        <f t="shared" si="17"/>
        <v>32603</v>
      </c>
      <c r="U32" s="73">
        <f t="shared" si="17"/>
        <v>31768</v>
      </c>
      <c r="V32" s="73">
        <f t="shared" si="18"/>
        <v>36701</v>
      </c>
      <c r="W32" s="73">
        <f t="shared" si="18"/>
        <v>36264</v>
      </c>
      <c r="X32" s="73">
        <f t="shared" si="18"/>
        <v>36577</v>
      </c>
      <c r="Y32" s="73">
        <f t="shared" si="19"/>
        <v>41500</v>
      </c>
      <c r="Z32" s="73">
        <f t="shared" si="19"/>
        <v>46611</v>
      </c>
      <c r="AA32" s="73">
        <f t="shared" si="20"/>
        <v>35792</v>
      </c>
      <c r="AR32" s="1"/>
      <c r="AT32" s="69"/>
      <c r="AU32" s="1"/>
      <c r="BC32" s="69"/>
    </row>
    <row r="33" spans="1:59">
      <c r="A33" s="104" t="s">
        <v>61</v>
      </c>
      <c r="B33" s="115" t="s">
        <v>149</v>
      </c>
      <c r="C33" s="73">
        <v>3602</v>
      </c>
      <c r="D33" s="73">
        <v>3120</v>
      </c>
      <c r="E33" s="73">
        <v>2991</v>
      </c>
      <c r="F33" s="73">
        <v>3066</v>
      </c>
      <c r="G33" s="73">
        <v>3576</v>
      </c>
      <c r="H33" s="73">
        <v>3019</v>
      </c>
      <c r="I33" s="73">
        <v>2902</v>
      </c>
      <c r="J33" s="73">
        <v>3020</v>
      </c>
      <c r="K33" s="73">
        <v>3748</v>
      </c>
      <c r="L33" s="73">
        <v>2921</v>
      </c>
      <c r="M33" s="73">
        <f t="shared" si="16"/>
        <v>2617</v>
      </c>
      <c r="N33" s="73">
        <f t="shared" si="16"/>
        <v>2975</v>
      </c>
      <c r="O33" s="73">
        <f t="shared" si="13"/>
        <v>3640</v>
      </c>
      <c r="P33" s="73">
        <f t="shared" si="13"/>
        <v>2899</v>
      </c>
      <c r="Q33" s="73">
        <f t="shared" si="13"/>
        <v>2871</v>
      </c>
      <c r="R33" s="73">
        <f t="shared" si="13"/>
        <v>2748</v>
      </c>
      <c r="S33" s="73">
        <f t="shared" si="14"/>
        <v>3810</v>
      </c>
      <c r="T33" s="73">
        <f t="shared" si="17"/>
        <v>3355</v>
      </c>
      <c r="U33" s="73">
        <f t="shared" si="17"/>
        <v>3610</v>
      </c>
      <c r="V33" s="73">
        <f t="shared" si="18"/>
        <v>4397</v>
      </c>
      <c r="W33" s="73">
        <f t="shared" si="18"/>
        <v>3569</v>
      </c>
      <c r="X33" s="73">
        <f t="shared" si="18"/>
        <v>3169</v>
      </c>
      <c r="Y33" s="73">
        <f t="shared" si="19"/>
        <v>3523</v>
      </c>
      <c r="Z33" s="73">
        <f t="shared" si="19"/>
        <v>3537</v>
      </c>
      <c r="AA33" s="73">
        <f t="shared" si="20"/>
        <v>3773</v>
      </c>
      <c r="AR33" s="1"/>
      <c r="AT33" s="69"/>
      <c r="AU33" s="1"/>
      <c r="BC33" s="69"/>
    </row>
    <row r="34" spans="1:59">
      <c r="A34" s="104" t="s">
        <v>62</v>
      </c>
      <c r="B34" s="115" t="s">
        <v>150</v>
      </c>
      <c r="C34" s="73">
        <v>37848</v>
      </c>
      <c r="D34" s="73">
        <v>39379</v>
      </c>
      <c r="E34" s="73">
        <v>25686</v>
      </c>
      <c r="F34" s="73">
        <v>25469</v>
      </c>
      <c r="G34" s="73">
        <v>18570</v>
      </c>
      <c r="H34" s="73">
        <v>18576</v>
      </c>
      <c r="I34" s="73">
        <v>18729</v>
      </c>
      <c r="J34" s="73">
        <v>18834</v>
      </c>
      <c r="K34" s="73">
        <v>18602</v>
      </c>
      <c r="L34" s="73">
        <v>19299</v>
      </c>
      <c r="M34" s="73">
        <f t="shared" si="16"/>
        <v>20406</v>
      </c>
      <c r="N34" s="73">
        <f t="shared" si="16"/>
        <v>20323</v>
      </c>
      <c r="O34" s="73">
        <f t="shared" si="13"/>
        <v>20662</v>
      </c>
      <c r="P34" s="73">
        <f t="shared" si="13"/>
        <v>20898</v>
      </c>
      <c r="Q34" s="73">
        <f t="shared" si="13"/>
        <v>21871</v>
      </c>
      <c r="R34" s="73">
        <f t="shared" si="13"/>
        <v>21053</v>
      </c>
      <c r="S34" s="73">
        <f t="shared" si="14"/>
        <v>19871</v>
      </c>
      <c r="T34" s="73">
        <f t="shared" si="17"/>
        <v>20426</v>
      </c>
      <c r="U34" s="73">
        <f t="shared" si="17"/>
        <v>22706</v>
      </c>
      <c r="V34" s="73">
        <f t="shared" si="18"/>
        <v>25444</v>
      </c>
      <c r="W34" s="73">
        <f t="shared" si="18"/>
        <v>24034</v>
      </c>
      <c r="X34" s="73">
        <f t="shared" si="18"/>
        <v>25160</v>
      </c>
      <c r="Y34" s="73">
        <f t="shared" si="19"/>
        <v>24155</v>
      </c>
      <c r="Z34" s="73">
        <f t="shared" si="19"/>
        <v>25446</v>
      </c>
      <c r="AA34" s="73">
        <f t="shared" si="20"/>
        <v>27959</v>
      </c>
      <c r="AR34" s="1"/>
      <c r="AT34" s="69"/>
      <c r="AU34" s="1"/>
      <c r="BC34" s="69"/>
    </row>
    <row r="35" spans="1:59">
      <c r="A35" s="104" t="s">
        <v>63</v>
      </c>
      <c r="B35" s="115" t="s">
        <v>151</v>
      </c>
      <c r="C35" s="73">
        <v>12465</v>
      </c>
      <c r="D35" s="73">
        <v>23605</v>
      </c>
      <c r="E35" s="73">
        <v>24738</v>
      </c>
      <c r="F35" s="73">
        <v>15358</v>
      </c>
      <c r="G35" s="73">
        <v>27072</v>
      </c>
      <c r="H35" s="73">
        <v>13956</v>
      </c>
      <c r="I35" s="73">
        <v>21336</v>
      </c>
      <c r="J35" s="73">
        <v>21033</v>
      </c>
      <c r="K35" s="73">
        <v>11666</v>
      </c>
      <c r="L35" s="73">
        <v>14034</v>
      </c>
      <c r="M35" s="73">
        <f t="shared" si="16"/>
        <v>19731</v>
      </c>
      <c r="N35" s="73">
        <f t="shared" si="16"/>
        <v>22021</v>
      </c>
      <c r="O35" s="73">
        <f t="shared" si="13"/>
        <v>24736</v>
      </c>
      <c r="P35" s="73">
        <f t="shared" si="13"/>
        <v>24168</v>
      </c>
      <c r="Q35" s="73">
        <f t="shared" si="13"/>
        <v>24620</v>
      </c>
      <c r="R35" s="73">
        <f t="shared" si="13"/>
        <v>25075</v>
      </c>
      <c r="S35" s="73">
        <f t="shared" si="14"/>
        <v>29978</v>
      </c>
      <c r="T35" s="73">
        <f t="shared" si="17"/>
        <v>23978</v>
      </c>
      <c r="U35" s="73">
        <f t="shared" si="17"/>
        <v>24643</v>
      </c>
      <c r="V35" s="73">
        <f t="shared" si="18"/>
        <v>24134</v>
      </c>
      <c r="W35" s="73">
        <f t="shared" si="18"/>
        <v>26699</v>
      </c>
      <c r="X35" s="73">
        <f t="shared" si="18"/>
        <v>36039</v>
      </c>
      <c r="Y35" s="73">
        <f t="shared" si="19"/>
        <v>36095</v>
      </c>
      <c r="Z35" s="73">
        <f t="shared" si="19"/>
        <v>39513</v>
      </c>
      <c r="AA35" s="73">
        <f t="shared" si="20"/>
        <v>57167</v>
      </c>
      <c r="AR35" s="1"/>
      <c r="AT35" s="69"/>
      <c r="AU35" s="1"/>
      <c r="BC35" s="69"/>
    </row>
    <row r="36" spans="1:59" ht="24">
      <c r="A36" s="104" t="s">
        <v>64</v>
      </c>
      <c r="B36" s="115" t="s">
        <v>152</v>
      </c>
      <c r="C36" s="73">
        <v>21569</v>
      </c>
      <c r="D36" s="73">
        <v>20269</v>
      </c>
      <c r="E36" s="73">
        <v>21561</v>
      </c>
      <c r="F36" s="73">
        <v>20389</v>
      </c>
      <c r="G36" s="73">
        <v>22217</v>
      </c>
      <c r="H36" s="73">
        <v>28392</v>
      </c>
      <c r="I36" s="73">
        <v>22227</v>
      </c>
      <c r="J36" s="73">
        <v>14547</v>
      </c>
      <c r="K36" s="73">
        <v>14266</v>
      </c>
      <c r="L36" s="73">
        <v>17032</v>
      </c>
      <c r="M36" s="73">
        <f t="shared" si="16"/>
        <v>20989</v>
      </c>
      <c r="N36" s="73">
        <f t="shared" si="16"/>
        <v>21328</v>
      </c>
      <c r="O36" s="73">
        <f t="shared" si="13"/>
        <v>23562</v>
      </c>
      <c r="P36" s="73">
        <f t="shared" si="13"/>
        <v>22214</v>
      </c>
      <c r="Q36" s="73">
        <f t="shared" si="13"/>
        <v>21602</v>
      </c>
      <c r="R36" s="73">
        <f t="shared" si="13"/>
        <v>21834</v>
      </c>
      <c r="S36" s="73">
        <f t="shared" si="14"/>
        <v>17636</v>
      </c>
      <c r="T36" s="73">
        <f t="shared" si="17"/>
        <v>19126</v>
      </c>
      <c r="U36" s="73">
        <f t="shared" si="17"/>
        <v>18625</v>
      </c>
      <c r="V36" s="73">
        <f t="shared" si="18"/>
        <v>13228</v>
      </c>
      <c r="W36" s="73">
        <f t="shared" si="18"/>
        <v>14894</v>
      </c>
      <c r="X36" s="73">
        <f t="shared" si="18"/>
        <v>15943</v>
      </c>
      <c r="Y36" s="73">
        <f t="shared" si="19"/>
        <v>15362</v>
      </c>
      <c r="Z36" s="73">
        <f t="shared" si="19"/>
        <v>14476</v>
      </c>
      <c r="AA36" s="73">
        <f t="shared" si="20"/>
        <v>14432</v>
      </c>
      <c r="AR36" s="1"/>
      <c r="AT36" s="69"/>
      <c r="AU36" s="1"/>
      <c r="BC36" s="69"/>
    </row>
    <row r="37" spans="1:59">
      <c r="A37" s="104" t="s">
        <v>65</v>
      </c>
      <c r="B37" s="115" t="s">
        <v>153</v>
      </c>
      <c r="C37" s="73">
        <v>4765</v>
      </c>
      <c r="D37" s="73">
        <v>3706</v>
      </c>
      <c r="E37" s="73">
        <v>3663</v>
      </c>
      <c r="F37" s="73">
        <v>4114</v>
      </c>
      <c r="G37" s="73">
        <v>5756</v>
      </c>
      <c r="H37" s="73">
        <v>3558</v>
      </c>
      <c r="I37" s="73">
        <v>3748</v>
      </c>
      <c r="J37" s="73">
        <v>4017</v>
      </c>
      <c r="K37" s="73">
        <v>3573</v>
      </c>
      <c r="L37" s="73">
        <v>4148</v>
      </c>
      <c r="M37" s="73">
        <f t="shared" si="16"/>
        <v>4239</v>
      </c>
      <c r="N37" s="73">
        <f t="shared" si="16"/>
        <v>4757</v>
      </c>
      <c r="O37" s="73">
        <f t="shared" si="13"/>
        <v>4793</v>
      </c>
      <c r="P37" s="73">
        <f t="shared" si="13"/>
        <v>4172</v>
      </c>
      <c r="Q37" s="73">
        <f t="shared" si="13"/>
        <v>4063</v>
      </c>
      <c r="R37" s="73">
        <f t="shared" si="13"/>
        <v>5209</v>
      </c>
      <c r="S37" s="73">
        <f t="shared" si="14"/>
        <v>3979</v>
      </c>
      <c r="T37" s="73">
        <f t="shared" si="17"/>
        <v>3978</v>
      </c>
      <c r="U37" s="73">
        <f t="shared" si="17"/>
        <v>3489</v>
      </c>
      <c r="V37" s="73">
        <f t="shared" si="18"/>
        <v>3203</v>
      </c>
      <c r="W37" s="73">
        <f t="shared" si="18"/>
        <v>2949</v>
      </c>
      <c r="X37" s="73">
        <f t="shared" si="18"/>
        <v>2629</v>
      </c>
      <c r="Y37" s="73">
        <f t="shared" si="19"/>
        <v>2693</v>
      </c>
      <c r="Z37" s="73">
        <f t="shared" si="19"/>
        <v>2828</v>
      </c>
      <c r="AA37" s="73">
        <f t="shared" si="20"/>
        <v>3637</v>
      </c>
      <c r="AR37" s="1"/>
      <c r="AT37" s="69"/>
      <c r="AU37" s="1"/>
      <c r="BC37" s="69"/>
    </row>
    <row r="38" spans="1:59" ht="24">
      <c r="A38" s="104" t="s">
        <v>66</v>
      </c>
      <c r="B38" s="115" t="s">
        <v>154</v>
      </c>
      <c r="C38" s="73">
        <v>19992</v>
      </c>
      <c r="D38" s="73">
        <v>19300</v>
      </c>
      <c r="E38" s="73">
        <v>19485</v>
      </c>
      <c r="F38" s="73">
        <v>18717</v>
      </c>
      <c r="G38" s="73">
        <v>19025</v>
      </c>
      <c r="H38" s="73">
        <v>20958</v>
      </c>
      <c r="I38" s="73">
        <v>20161</v>
      </c>
      <c r="J38" s="73">
        <v>19212</v>
      </c>
      <c r="K38" s="73">
        <v>17434</v>
      </c>
      <c r="L38" s="73">
        <v>17543</v>
      </c>
      <c r="M38" s="73">
        <f t="shared" si="16"/>
        <v>17830</v>
      </c>
      <c r="N38" s="73">
        <f t="shared" si="16"/>
        <v>18253</v>
      </c>
      <c r="O38" s="73">
        <f t="shared" si="13"/>
        <v>18792</v>
      </c>
      <c r="P38" s="73">
        <f t="shared" si="13"/>
        <v>20265</v>
      </c>
      <c r="Q38" s="73">
        <f t="shared" si="13"/>
        <v>21482</v>
      </c>
      <c r="R38" s="73">
        <f t="shared" si="13"/>
        <v>21794</v>
      </c>
      <c r="S38" s="73">
        <f t="shared" si="14"/>
        <v>21378</v>
      </c>
      <c r="T38" s="73">
        <f t="shared" si="17"/>
        <v>21075</v>
      </c>
      <c r="U38" s="73">
        <f t="shared" si="17"/>
        <v>19341</v>
      </c>
      <c r="V38" s="73">
        <f t="shared" si="18"/>
        <v>16801</v>
      </c>
      <c r="W38" s="73">
        <f t="shared" si="18"/>
        <v>16116</v>
      </c>
      <c r="X38" s="73">
        <f t="shared" si="18"/>
        <v>16963</v>
      </c>
      <c r="Y38" s="73">
        <f t="shared" si="19"/>
        <v>15988</v>
      </c>
      <c r="Z38" s="73">
        <f t="shared" si="19"/>
        <v>16290</v>
      </c>
      <c r="AA38" s="73">
        <f t="shared" si="20"/>
        <v>14497</v>
      </c>
      <c r="AR38" s="1"/>
      <c r="AT38" s="69"/>
      <c r="AU38" s="1"/>
      <c r="BC38" s="69"/>
    </row>
    <row r="39" spans="1:59" ht="12.5" thickBot="1">
      <c r="A39" s="104" t="s">
        <v>67</v>
      </c>
      <c r="B39" s="115" t="s">
        <v>155</v>
      </c>
      <c r="C39" s="73">
        <v>2068</v>
      </c>
      <c r="D39" s="73">
        <v>2224</v>
      </c>
      <c r="E39" s="73">
        <v>2048</v>
      </c>
      <c r="F39" s="73">
        <v>1782</v>
      </c>
      <c r="G39" s="73">
        <v>2386</v>
      </c>
      <c r="H39" s="73">
        <v>2326</v>
      </c>
      <c r="I39" s="73">
        <v>2191</v>
      </c>
      <c r="J39" s="73">
        <v>2469</v>
      </c>
      <c r="K39" s="73">
        <v>2270</v>
      </c>
      <c r="L39" s="73">
        <v>2030</v>
      </c>
      <c r="M39" s="73">
        <f t="shared" si="16"/>
        <v>2187</v>
      </c>
      <c r="N39" s="73">
        <f t="shared" si="16"/>
        <v>2299</v>
      </c>
      <c r="O39" s="73">
        <f t="shared" si="13"/>
        <v>2672</v>
      </c>
      <c r="P39" s="73">
        <f t="shared" si="13"/>
        <v>2630</v>
      </c>
      <c r="Q39" s="73">
        <f t="shared" si="13"/>
        <v>2748</v>
      </c>
      <c r="R39" s="73">
        <f t="shared" si="13"/>
        <v>2996</v>
      </c>
      <c r="S39" s="73">
        <f t="shared" si="14"/>
        <v>3667</v>
      </c>
      <c r="T39" s="73">
        <f t="shared" si="17"/>
        <v>2366</v>
      </c>
      <c r="U39" s="73">
        <f t="shared" si="17"/>
        <v>1670</v>
      </c>
      <c r="V39" s="73">
        <f t="shared" si="18"/>
        <v>2072</v>
      </c>
      <c r="W39" s="73">
        <f t="shared" si="18"/>
        <v>3520</v>
      </c>
      <c r="X39" s="73">
        <f t="shared" si="18"/>
        <v>2158</v>
      </c>
      <c r="Y39" s="73">
        <f t="shared" si="19"/>
        <v>1755</v>
      </c>
      <c r="Z39" s="73">
        <f t="shared" si="19"/>
        <v>-889</v>
      </c>
      <c r="AA39" s="73">
        <f t="shared" si="20"/>
        <v>2881</v>
      </c>
      <c r="AR39" s="1"/>
      <c r="AT39" s="69"/>
      <c r="AU39" s="1"/>
      <c r="BC39" s="69"/>
    </row>
    <row r="40" spans="1:59" ht="12.5" thickBot="1">
      <c r="A40" s="108" t="s">
        <v>68</v>
      </c>
      <c r="B40" s="116" t="s">
        <v>156</v>
      </c>
      <c r="C40" s="2">
        <v>155495</v>
      </c>
      <c r="D40" s="2">
        <v>163089</v>
      </c>
      <c r="E40" s="2">
        <v>150890</v>
      </c>
      <c r="F40" s="2">
        <v>142199</v>
      </c>
      <c r="G40" s="2">
        <v>156750</v>
      </c>
      <c r="H40" s="2">
        <v>147389</v>
      </c>
      <c r="I40" s="2">
        <v>151587</v>
      </c>
      <c r="J40" s="2">
        <v>140447</v>
      </c>
      <c r="K40" s="2">
        <v>134352</v>
      </c>
      <c r="L40" s="2">
        <v>139784</v>
      </c>
      <c r="M40" s="2">
        <f t="shared" ref="M40:R40" si="21">SUM(M30:M39)</f>
        <v>150192</v>
      </c>
      <c r="N40" s="2">
        <f t="shared" si="21"/>
        <v>156696</v>
      </c>
      <c r="O40" s="2">
        <f t="shared" si="21"/>
        <v>166117</v>
      </c>
      <c r="P40" s="2">
        <f t="shared" si="21"/>
        <v>162518</v>
      </c>
      <c r="Q40" s="2">
        <f t="shared" si="21"/>
        <v>165538</v>
      </c>
      <c r="R40" s="2">
        <f t="shared" si="21"/>
        <v>169380</v>
      </c>
      <c r="S40" s="2">
        <v>172504</v>
      </c>
      <c r="T40" s="2">
        <f t="shared" ref="T40:Y40" si="22">SUM(T30:T39)</f>
        <v>164083</v>
      </c>
      <c r="U40" s="2">
        <f t="shared" si="22"/>
        <v>162913</v>
      </c>
      <c r="V40" s="2">
        <f t="shared" si="22"/>
        <v>161569</v>
      </c>
      <c r="W40" s="2">
        <f t="shared" si="22"/>
        <v>163174</v>
      </c>
      <c r="X40" s="2">
        <f t="shared" si="22"/>
        <v>175025</v>
      </c>
      <c r="Y40" s="2">
        <f t="shared" si="22"/>
        <v>178307</v>
      </c>
      <c r="Z40" s="2">
        <f>SUM(Z30:Z39)</f>
        <v>182647</v>
      </c>
      <c r="AA40" s="2">
        <f>SUM(AA30:AA39)</f>
        <v>194533</v>
      </c>
      <c r="AR40" s="1"/>
      <c r="AT40" s="69"/>
      <c r="AU40" s="1"/>
      <c r="BC40" s="69"/>
    </row>
    <row r="42" spans="1:59" ht="15.5">
      <c r="A42" s="112" t="s">
        <v>187</v>
      </c>
    </row>
    <row r="43" spans="1:59" ht="15.5">
      <c r="A43" s="112" t="s">
        <v>486</v>
      </c>
    </row>
    <row r="44" spans="1:59" s="207" customFormat="1" ht="24.5" thickBot="1">
      <c r="A44" s="187" t="s">
        <v>515</v>
      </c>
      <c r="B44" s="187" t="s">
        <v>170</v>
      </c>
      <c r="C44" s="205" t="s">
        <v>189</v>
      </c>
      <c r="D44" s="205" t="s">
        <v>192</v>
      </c>
      <c r="E44" s="205" t="s">
        <v>196</v>
      </c>
      <c r="F44" s="205" t="s">
        <v>216</v>
      </c>
      <c r="G44" s="205" t="s">
        <v>219</v>
      </c>
      <c r="H44" s="205" t="s">
        <v>238</v>
      </c>
      <c r="I44" s="205" t="s">
        <v>239</v>
      </c>
      <c r="J44" s="205" t="s">
        <v>242</v>
      </c>
      <c r="K44" s="205" t="s">
        <v>245</v>
      </c>
      <c r="L44" s="205" t="s">
        <v>252</v>
      </c>
      <c r="M44" s="205" t="s">
        <v>257</v>
      </c>
      <c r="N44" s="205" t="s">
        <v>259</v>
      </c>
      <c r="O44" s="205" t="s">
        <v>262</v>
      </c>
      <c r="P44" s="205" t="s">
        <v>267</v>
      </c>
      <c r="Q44" s="205" t="s">
        <v>275</v>
      </c>
      <c r="R44" s="205" t="s">
        <v>282</v>
      </c>
      <c r="S44" s="205" t="s">
        <v>285</v>
      </c>
      <c r="T44" s="205" t="s">
        <v>365</v>
      </c>
      <c r="U44" s="205" t="s">
        <v>416</v>
      </c>
      <c r="V44" s="205" t="s">
        <v>418</v>
      </c>
      <c r="W44" s="205" t="s">
        <v>422</v>
      </c>
      <c r="X44" s="205" t="s">
        <v>431</v>
      </c>
      <c r="Y44" s="205" t="s">
        <v>437</v>
      </c>
      <c r="Z44" s="205" t="s">
        <v>441</v>
      </c>
      <c r="AA44" s="205" t="s">
        <v>527</v>
      </c>
      <c r="AR44" s="216"/>
      <c r="AS44" s="216"/>
      <c r="AU44" s="216"/>
      <c r="AV44" s="216"/>
      <c r="AW44" s="216"/>
      <c r="AX44" s="216"/>
      <c r="AY44" s="216"/>
      <c r="AZ44" s="216"/>
      <c r="BA44" s="216"/>
      <c r="BB44" s="216"/>
    </row>
    <row r="45" spans="1:59">
      <c r="A45" s="109" t="s">
        <v>59</v>
      </c>
      <c r="B45" s="114" t="s">
        <v>146</v>
      </c>
      <c r="C45" s="78">
        <v>23228</v>
      </c>
      <c r="D45" s="78">
        <v>46776</v>
      </c>
      <c r="E45" s="78">
        <v>70127</v>
      </c>
      <c r="F45" s="72">
        <v>92947</v>
      </c>
      <c r="G45" s="72">
        <v>21938</v>
      </c>
      <c r="H45" s="72">
        <v>43535</v>
      </c>
      <c r="I45" s="72">
        <v>66021</v>
      </c>
      <c r="J45" s="72">
        <v>86103</v>
      </c>
      <c r="K45" s="72">
        <v>19973</v>
      </c>
      <c r="L45" s="72">
        <v>40653</v>
      </c>
      <c r="M45" s="72">
        <v>60853</v>
      </c>
      <c r="N45" s="72">
        <v>81351</v>
      </c>
      <c r="O45" s="72">
        <v>19682</v>
      </c>
      <c r="P45" s="72">
        <v>39372</v>
      </c>
      <c r="Q45" s="72">
        <v>58052</v>
      </c>
      <c r="R45" s="72">
        <v>77713</v>
      </c>
      <c r="S45" s="72">
        <v>20547</v>
      </c>
      <c r="T45" s="72">
        <v>41404</v>
      </c>
      <c r="U45" s="72">
        <v>62167</v>
      </c>
      <c r="V45" s="72">
        <v>81036</v>
      </c>
      <c r="W45" s="72">
        <v>19134</v>
      </c>
      <c r="X45" s="72">
        <v>38261</v>
      </c>
      <c r="Y45" s="72">
        <v>58178</v>
      </c>
      <c r="Z45" s="72">
        <v>76868</v>
      </c>
      <c r="AA45" s="72">
        <v>19727</v>
      </c>
      <c r="AC45" s="223"/>
      <c r="AE45" s="28"/>
      <c r="BB45" s="70"/>
      <c r="BC45" s="27"/>
      <c r="BD45" s="27"/>
      <c r="BE45" s="28"/>
      <c r="BF45" s="82"/>
      <c r="BG45" s="28"/>
    </row>
    <row r="46" spans="1:59" ht="24">
      <c r="A46" s="109" t="s">
        <v>69</v>
      </c>
      <c r="B46" s="115" t="s">
        <v>147</v>
      </c>
      <c r="C46" s="79">
        <v>11334</v>
      </c>
      <c r="D46" s="79">
        <v>22969</v>
      </c>
      <c r="E46" s="79">
        <v>34772</v>
      </c>
      <c r="F46" s="73">
        <v>46836</v>
      </c>
      <c r="G46" s="73">
        <v>11661</v>
      </c>
      <c r="H46" s="73">
        <v>24050</v>
      </c>
      <c r="I46" s="73">
        <v>36523</v>
      </c>
      <c r="J46" s="73">
        <v>49650</v>
      </c>
      <c r="K46" s="73">
        <v>12558</v>
      </c>
      <c r="L46" s="73">
        <v>26077</v>
      </c>
      <c r="M46" s="73">
        <v>39684</v>
      </c>
      <c r="N46" s="73">
        <v>53855</v>
      </c>
      <c r="O46" s="73">
        <v>13952</v>
      </c>
      <c r="P46" s="73">
        <v>29241</v>
      </c>
      <c r="Q46" s="73">
        <v>45545</v>
      </c>
      <c r="R46" s="73">
        <v>63194</v>
      </c>
      <c r="S46" s="73">
        <v>18594</v>
      </c>
      <c r="T46" s="73">
        <v>36912</v>
      </c>
      <c r="U46" s="73">
        <v>55041</v>
      </c>
      <c r="V46" s="73">
        <v>73682</v>
      </c>
      <c r="W46" s="73">
        <v>17295</v>
      </c>
      <c r="X46" s="73">
        <v>35933</v>
      </c>
      <c r="Y46" s="73">
        <v>54871</v>
      </c>
      <c r="Z46" s="73">
        <v>73151</v>
      </c>
      <c r="AA46" s="73">
        <v>16309</v>
      </c>
      <c r="AC46" s="223"/>
      <c r="AE46" s="28"/>
      <c r="BB46" s="70"/>
      <c r="BC46" s="27"/>
      <c r="BD46" s="27"/>
      <c r="BE46" s="28"/>
      <c r="BF46" s="82"/>
      <c r="BG46" s="28"/>
    </row>
    <row r="47" spans="1:59">
      <c r="A47" s="109" t="s">
        <v>60</v>
      </c>
      <c r="B47" s="115" t="s">
        <v>148</v>
      </c>
      <c r="C47" s="79">
        <v>22959</v>
      </c>
      <c r="D47" s="79">
        <v>43752</v>
      </c>
      <c r="E47" s="79">
        <v>63558</v>
      </c>
      <c r="F47" s="73">
        <v>86409</v>
      </c>
      <c r="G47" s="73">
        <v>28398</v>
      </c>
      <c r="H47" s="73">
        <v>57770</v>
      </c>
      <c r="I47" s="73">
        <v>87939</v>
      </c>
      <c r="J47" s="73">
        <v>118365</v>
      </c>
      <c r="K47" s="73">
        <v>35420</v>
      </c>
      <c r="L47" s="73">
        <v>71138</v>
      </c>
      <c r="M47" s="73">
        <v>104681</v>
      </c>
      <c r="N47" s="73">
        <v>140449</v>
      </c>
      <c r="O47" s="73">
        <v>38715</v>
      </c>
      <c r="P47" s="73">
        <v>74936</v>
      </c>
      <c r="Q47" s="73">
        <v>112883</v>
      </c>
      <c r="R47" s="73">
        <v>153215</v>
      </c>
      <c r="S47" s="73">
        <v>41547</v>
      </c>
      <c r="T47" s="73">
        <v>81591</v>
      </c>
      <c r="U47" s="73">
        <v>121455</v>
      </c>
      <c r="V47" s="73">
        <v>166548</v>
      </c>
      <c r="W47" s="73">
        <v>44454</v>
      </c>
      <c r="X47" s="73">
        <v>91125</v>
      </c>
      <c r="Y47" s="73">
        <v>146977</v>
      </c>
      <c r="Z47" s="73">
        <v>203539</v>
      </c>
      <c r="AA47" s="73">
        <v>49401</v>
      </c>
      <c r="AC47" s="223"/>
      <c r="AE47" s="28"/>
      <c r="BB47" s="70"/>
      <c r="BC47" s="27"/>
      <c r="BD47" s="27"/>
      <c r="BE47" s="28"/>
      <c r="BF47" s="82"/>
      <c r="BG47" s="28"/>
    </row>
    <row r="48" spans="1:59">
      <c r="A48" s="109" t="s">
        <v>61</v>
      </c>
      <c r="B48" s="115" t="s">
        <v>149</v>
      </c>
      <c r="C48" s="79">
        <v>3602</v>
      </c>
      <c r="D48" s="79">
        <v>6722</v>
      </c>
      <c r="E48" s="79">
        <v>9713</v>
      </c>
      <c r="F48" s="73">
        <v>12779</v>
      </c>
      <c r="G48" s="73">
        <v>3576</v>
      </c>
      <c r="H48" s="73">
        <v>6595</v>
      </c>
      <c r="I48" s="73">
        <v>9497</v>
      </c>
      <c r="J48" s="73">
        <v>12517</v>
      </c>
      <c r="K48" s="73">
        <v>3748</v>
      </c>
      <c r="L48" s="73">
        <v>6669</v>
      </c>
      <c r="M48" s="73">
        <v>9286</v>
      </c>
      <c r="N48" s="73">
        <v>12261</v>
      </c>
      <c r="O48" s="73">
        <v>3640</v>
      </c>
      <c r="P48" s="73">
        <v>6539</v>
      </c>
      <c r="Q48" s="73">
        <v>9410</v>
      </c>
      <c r="R48" s="73">
        <v>12158</v>
      </c>
      <c r="S48" s="73">
        <v>3810</v>
      </c>
      <c r="T48" s="73">
        <v>7165</v>
      </c>
      <c r="U48" s="73">
        <v>10775</v>
      </c>
      <c r="V48" s="73">
        <v>15172</v>
      </c>
      <c r="W48" s="73">
        <v>3569</v>
      </c>
      <c r="X48" s="73">
        <v>6738</v>
      </c>
      <c r="Y48" s="73">
        <v>10261</v>
      </c>
      <c r="Z48" s="73">
        <v>13798</v>
      </c>
      <c r="AA48" s="73">
        <v>3773</v>
      </c>
      <c r="AC48" s="223"/>
      <c r="AE48" s="28"/>
      <c r="BB48" s="70"/>
      <c r="BC48" s="27"/>
      <c r="BD48" s="27"/>
      <c r="BE48" s="28"/>
      <c r="BF48" s="82"/>
      <c r="BG48" s="28"/>
    </row>
    <row r="49" spans="1:59">
      <c r="A49" s="109" t="s">
        <v>62</v>
      </c>
      <c r="B49" s="115" t="s">
        <v>150</v>
      </c>
      <c r="C49" s="79">
        <v>50299</v>
      </c>
      <c r="D49" s="79">
        <v>103991</v>
      </c>
      <c r="E49" s="79">
        <v>143526</v>
      </c>
      <c r="F49" s="73">
        <v>183017</v>
      </c>
      <c r="G49" s="73">
        <v>32451</v>
      </c>
      <c r="H49" s="73">
        <v>65871</v>
      </c>
      <c r="I49" s="73">
        <v>100395</v>
      </c>
      <c r="J49" s="73">
        <v>135059</v>
      </c>
      <c r="K49" s="73">
        <v>34377</v>
      </c>
      <c r="L49" s="73">
        <v>70867</v>
      </c>
      <c r="M49" s="73">
        <v>109628</v>
      </c>
      <c r="N49" s="73">
        <v>147816</v>
      </c>
      <c r="O49" s="73">
        <v>38042</v>
      </c>
      <c r="P49" s="73">
        <v>78659</v>
      </c>
      <c r="Q49" s="73">
        <v>120657</v>
      </c>
      <c r="R49" s="73">
        <v>162080</v>
      </c>
      <c r="S49" s="73">
        <v>40386</v>
      </c>
      <c r="T49" s="73">
        <v>83895</v>
      </c>
      <c r="U49" s="73">
        <v>129976</v>
      </c>
      <c r="V49" s="73">
        <v>177744</v>
      </c>
      <c r="W49" s="73">
        <v>45520</v>
      </c>
      <c r="X49" s="73">
        <v>97185</v>
      </c>
      <c r="Y49" s="73">
        <v>155644</v>
      </c>
      <c r="Z49" s="73">
        <v>214052</v>
      </c>
      <c r="AA49" s="73">
        <v>55560</v>
      </c>
      <c r="AC49" s="223"/>
      <c r="AE49" s="28"/>
      <c r="BB49" s="70"/>
      <c r="BC49" s="27"/>
      <c r="BD49" s="27"/>
      <c r="BE49" s="28"/>
      <c r="BF49" s="82"/>
      <c r="BG49" s="28"/>
    </row>
    <row r="50" spans="1:59">
      <c r="A50" s="109" t="s">
        <v>63</v>
      </c>
      <c r="B50" s="115" t="s">
        <v>151</v>
      </c>
      <c r="C50" s="79">
        <v>12465</v>
      </c>
      <c r="D50" s="79">
        <v>36070</v>
      </c>
      <c r="E50" s="79">
        <v>60808</v>
      </c>
      <c r="F50" s="73">
        <v>76166</v>
      </c>
      <c r="G50" s="73">
        <v>27072</v>
      </c>
      <c r="H50" s="73">
        <v>41028</v>
      </c>
      <c r="I50" s="73">
        <v>62364</v>
      </c>
      <c r="J50" s="73">
        <v>83397</v>
      </c>
      <c r="K50" s="73">
        <v>11666</v>
      </c>
      <c r="L50" s="73">
        <v>25700</v>
      </c>
      <c r="M50" s="73">
        <v>45431</v>
      </c>
      <c r="N50" s="73">
        <v>67452</v>
      </c>
      <c r="O50" s="73">
        <v>24736</v>
      </c>
      <c r="P50" s="73">
        <v>48903</v>
      </c>
      <c r="Q50" s="73">
        <v>73523</v>
      </c>
      <c r="R50" s="73">
        <v>98598</v>
      </c>
      <c r="S50" s="73">
        <v>29978</v>
      </c>
      <c r="T50" s="73">
        <v>53956</v>
      </c>
      <c r="U50" s="73">
        <v>78599</v>
      </c>
      <c r="V50" s="73">
        <v>102733</v>
      </c>
      <c r="W50" s="73">
        <v>26699</v>
      </c>
      <c r="X50" s="73">
        <v>62738</v>
      </c>
      <c r="Y50" s="73">
        <v>98833</v>
      </c>
      <c r="Z50" s="73">
        <v>138346</v>
      </c>
      <c r="AA50" s="73">
        <v>57167</v>
      </c>
      <c r="AC50" s="223"/>
      <c r="AE50" s="28"/>
      <c r="BB50" s="70"/>
      <c r="BC50" s="27"/>
      <c r="BD50" s="27"/>
      <c r="BE50" s="28"/>
      <c r="BF50" s="82"/>
      <c r="BG50" s="28"/>
    </row>
    <row r="51" spans="1:59" ht="24">
      <c r="A51" s="109" t="s">
        <v>64</v>
      </c>
      <c r="B51" s="115" t="s">
        <v>152</v>
      </c>
      <c r="C51" s="79">
        <v>21569</v>
      </c>
      <c r="D51" s="79">
        <v>41838</v>
      </c>
      <c r="E51" s="79">
        <v>63399</v>
      </c>
      <c r="F51" s="73">
        <v>83788</v>
      </c>
      <c r="G51" s="73">
        <v>22217</v>
      </c>
      <c r="H51" s="73">
        <v>50609</v>
      </c>
      <c r="I51" s="73">
        <v>72836</v>
      </c>
      <c r="J51" s="73">
        <v>87383</v>
      </c>
      <c r="K51" s="73">
        <v>14266</v>
      </c>
      <c r="L51" s="73">
        <v>31298</v>
      </c>
      <c r="M51" s="73">
        <v>52287</v>
      </c>
      <c r="N51" s="73">
        <v>73615</v>
      </c>
      <c r="O51" s="73">
        <v>23562</v>
      </c>
      <c r="P51" s="73">
        <v>45776</v>
      </c>
      <c r="Q51" s="73">
        <v>67378</v>
      </c>
      <c r="R51" s="73">
        <v>89212</v>
      </c>
      <c r="S51" s="73">
        <v>17636</v>
      </c>
      <c r="T51" s="73">
        <v>36762</v>
      </c>
      <c r="U51" s="73">
        <v>55387</v>
      </c>
      <c r="V51" s="73">
        <v>68615</v>
      </c>
      <c r="W51" s="73">
        <v>14894</v>
      </c>
      <c r="X51" s="73">
        <v>30837</v>
      </c>
      <c r="Y51" s="73">
        <v>46199</v>
      </c>
      <c r="Z51" s="73">
        <v>60675</v>
      </c>
      <c r="AA51" s="73">
        <v>14432</v>
      </c>
      <c r="AC51" s="223"/>
      <c r="AE51" s="28"/>
      <c r="BB51" s="70"/>
      <c r="BC51" s="27"/>
      <c r="BD51" s="27"/>
      <c r="BE51" s="28"/>
      <c r="BF51" s="82"/>
      <c r="BG51" s="28"/>
    </row>
    <row r="52" spans="1:59">
      <c r="A52" s="109" t="s">
        <v>65</v>
      </c>
      <c r="B52" s="115" t="s">
        <v>153</v>
      </c>
      <c r="C52" s="79">
        <v>5717</v>
      </c>
      <c r="D52" s="79">
        <v>10199</v>
      </c>
      <c r="E52" s="79">
        <v>14753</v>
      </c>
      <c r="F52" s="73">
        <v>19614</v>
      </c>
      <c r="G52" s="73">
        <v>6544</v>
      </c>
      <c r="H52" s="73">
        <v>10864</v>
      </c>
      <c r="I52" s="73">
        <v>15462</v>
      </c>
      <c r="J52" s="73">
        <v>20465</v>
      </c>
      <c r="K52" s="73">
        <v>4387</v>
      </c>
      <c r="L52" s="73">
        <v>9390</v>
      </c>
      <c r="M52" s="73">
        <v>14469</v>
      </c>
      <c r="N52" s="73">
        <v>20314</v>
      </c>
      <c r="O52" s="73">
        <v>5847</v>
      </c>
      <c r="P52" s="73">
        <v>10892</v>
      </c>
      <c r="Q52" s="73">
        <v>15745</v>
      </c>
      <c r="R52" s="73">
        <v>21750</v>
      </c>
      <c r="S52" s="73">
        <v>4884</v>
      </c>
      <c r="T52" s="73">
        <v>9671</v>
      </c>
      <c r="U52" s="73">
        <v>13906</v>
      </c>
      <c r="V52" s="73">
        <v>17760</v>
      </c>
      <c r="W52" s="73">
        <v>3576</v>
      </c>
      <c r="X52" s="73">
        <v>6754</v>
      </c>
      <c r="Y52" s="73">
        <v>9984</v>
      </c>
      <c r="Z52" s="73">
        <v>13361</v>
      </c>
      <c r="AA52" s="73">
        <v>4431</v>
      </c>
      <c r="AC52" s="223"/>
      <c r="AE52" s="28"/>
      <c r="BB52" s="70"/>
      <c r="BC52" s="27"/>
      <c r="BD52" s="27"/>
      <c r="BE52" s="28"/>
      <c r="BF52" s="82"/>
      <c r="BG52" s="28"/>
    </row>
    <row r="53" spans="1:59" ht="24">
      <c r="A53" s="109" t="s">
        <v>66</v>
      </c>
      <c r="B53" s="115" t="s">
        <v>154</v>
      </c>
      <c r="C53" s="79">
        <v>20823</v>
      </c>
      <c r="D53" s="79">
        <v>41434</v>
      </c>
      <c r="E53" s="79">
        <v>62050</v>
      </c>
      <c r="F53" s="73">
        <v>82433</v>
      </c>
      <c r="G53" s="73">
        <v>20487</v>
      </c>
      <c r="H53" s="73">
        <v>43365</v>
      </c>
      <c r="I53" s="73">
        <v>65610</v>
      </c>
      <c r="J53" s="73">
        <v>86955</v>
      </c>
      <c r="K53" s="73">
        <v>19587</v>
      </c>
      <c r="L53" s="73">
        <v>39364</v>
      </c>
      <c r="M53" s="73">
        <v>59298</v>
      </c>
      <c r="N53" s="73">
        <v>79727</v>
      </c>
      <c r="O53" s="73">
        <v>21030</v>
      </c>
      <c r="P53" s="73">
        <v>43907</v>
      </c>
      <c r="Q53" s="73">
        <v>68088</v>
      </c>
      <c r="R53" s="73">
        <v>92576</v>
      </c>
      <c r="S53" s="73">
        <v>24013</v>
      </c>
      <c r="T53" s="73">
        <v>47617</v>
      </c>
      <c r="U53" s="73">
        <v>69135</v>
      </c>
      <c r="V53" s="73">
        <v>88116</v>
      </c>
      <c r="W53" s="73">
        <v>18341</v>
      </c>
      <c r="X53" s="73">
        <v>37452</v>
      </c>
      <c r="Y53" s="73">
        <v>56641</v>
      </c>
      <c r="Z53" s="73">
        <v>75666</v>
      </c>
      <c r="AA53" s="73">
        <v>17565</v>
      </c>
      <c r="AC53" s="223"/>
      <c r="AE53" s="28"/>
      <c r="BB53" s="70"/>
      <c r="BC53" s="27"/>
      <c r="BD53" s="27"/>
      <c r="BE53" s="28"/>
      <c r="BF53" s="82"/>
      <c r="BG53" s="28"/>
    </row>
    <row r="54" spans="1:59" ht="12.5" thickBot="1">
      <c r="A54" s="109" t="s">
        <v>67</v>
      </c>
      <c r="B54" s="115" t="s">
        <v>155</v>
      </c>
      <c r="C54" s="80">
        <v>2843</v>
      </c>
      <c r="D54" s="80">
        <v>5675</v>
      </c>
      <c r="E54" s="80">
        <v>8529</v>
      </c>
      <c r="F54" s="73">
        <v>11332</v>
      </c>
      <c r="G54" s="73">
        <v>3470</v>
      </c>
      <c r="H54" s="73">
        <v>7296</v>
      </c>
      <c r="I54" s="73">
        <v>10721</v>
      </c>
      <c r="J54" s="73">
        <v>16386</v>
      </c>
      <c r="K54" s="73">
        <v>5400</v>
      </c>
      <c r="L54" s="73">
        <v>9167</v>
      </c>
      <c r="M54" s="73">
        <v>13945</v>
      </c>
      <c r="N54" s="73">
        <v>21167</v>
      </c>
      <c r="O54" s="73">
        <v>6892</v>
      </c>
      <c r="P54" s="73">
        <v>14037</v>
      </c>
      <c r="Q54" s="73">
        <v>22045</v>
      </c>
      <c r="R54" s="73">
        <v>28792</v>
      </c>
      <c r="S54" s="73">
        <v>7807</v>
      </c>
      <c r="T54" s="73">
        <v>15588</v>
      </c>
      <c r="U54" s="73">
        <v>23467</v>
      </c>
      <c r="V54" s="73">
        <v>32839</v>
      </c>
      <c r="W54" s="73">
        <v>8048</v>
      </c>
      <c r="X54" s="73">
        <v>15804</v>
      </c>
      <c r="Y54" s="73">
        <v>23510</v>
      </c>
      <c r="Z54" s="73">
        <v>30431</v>
      </c>
      <c r="AA54" s="73">
        <v>9304</v>
      </c>
      <c r="AC54" s="223"/>
      <c r="AE54" s="28"/>
      <c r="BB54" s="70"/>
      <c r="BC54" s="27"/>
      <c r="BD54" s="27"/>
      <c r="BE54" s="28"/>
      <c r="BF54" s="82"/>
      <c r="BG54" s="28"/>
    </row>
    <row r="55" spans="1:59" ht="12.5" thickBot="1">
      <c r="A55" s="110" t="s">
        <v>68</v>
      </c>
      <c r="B55" s="116" t="s">
        <v>156</v>
      </c>
      <c r="C55" s="2">
        <f t="shared" ref="C55:K55" si="23">SUM(C45:C54)</f>
        <v>174839</v>
      </c>
      <c r="D55" s="2">
        <f t="shared" si="23"/>
        <v>359426</v>
      </c>
      <c r="E55" s="2">
        <f t="shared" si="23"/>
        <v>531235</v>
      </c>
      <c r="F55" s="2">
        <f t="shared" si="23"/>
        <v>695321</v>
      </c>
      <c r="G55" s="2">
        <f t="shared" si="23"/>
        <v>177814</v>
      </c>
      <c r="H55" s="2">
        <f t="shared" si="23"/>
        <v>350983</v>
      </c>
      <c r="I55" s="2">
        <f t="shared" si="23"/>
        <v>527368</v>
      </c>
      <c r="J55" s="2">
        <f t="shared" si="23"/>
        <v>696280</v>
      </c>
      <c r="K55" s="2">
        <f t="shared" si="23"/>
        <v>161382</v>
      </c>
      <c r="L55" s="2">
        <f t="shared" ref="L55:Q55" si="24">SUM(L45:L54)</f>
        <v>330323</v>
      </c>
      <c r="M55" s="2">
        <f t="shared" si="24"/>
        <v>509562</v>
      </c>
      <c r="N55" s="2">
        <f t="shared" si="24"/>
        <v>698007</v>
      </c>
      <c r="O55" s="2">
        <f t="shared" si="24"/>
        <v>196098</v>
      </c>
      <c r="P55" s="2">
        <f t="shared" si="24"/>
        <v>392262</v>
      </c>
      <c r="Q55" s="2">
        <f t="shared" si="24"/>
        <v>593326</v>
      </c>
      <c r="R55" s="2">
        <f t="shared" ref="R55:X55" si="25">SUM(R45:R54)</f>
        <v>799288</v>
      </c>
      <c r="S55" s="2">
        <f t="shared" si="25"/>
        <v>209202</v>
      </c>
      <c r="T55" s="2">
        <f t="shared" si="25"/>
        <v>414561</v>
      </c>
      <c r="U55" s="2">
        <f t="shared" si="25"/>
        <v>619908</v>
      </c>
      <c r="V55" s="2">
        <f t="shared" si="25"/>
        <v>824245</v>
      </c>
      <c r="W55" s="2">
        <f t="shared" si="25"/>
        <v>201530</v>
      </c>
      <c r="X55" s="2">
        <f t="shared" si="25"/>
        <v>422827</v>
      </c>
      <c r="Y55" s="2">
        <f>SUM(Y45:Y54)</f>
        <v>661098</v>
      </c>
      <c r="Z55" s="2">
        <f>SUM(Z45:Z54)</f>
        <v>899887</v>
      </c>
      <c r="AA55" s="2">
        <f>SUM(AA45:AA54)</f>
        <v>247669</v>
      </c>
      <c r="AE55" s="28"/>
      <c r="BB55" s="70"/>
      <c r="BC55" s="27"/>
      <c r="BD55" s="27"/>
      <c r="BE55" s="28"/>
      <c r="BF55" s="82"/>
      <c r="BG55" s="28"/>
    </row>
    <row r="56" spans="1:59">
      <c r="A56" s="117"/>
      <c r="C56" s="27"/>
      <c r="D56" s="27"/>
      <c r="E56" s="27"/>
      <c r="F56" s="27"/>
      <c r="G56" s="27"/>
      <c r="H56" s="27"/>
      <c r="I56" s="27"/>
      <c r="J56" s="27"/>
      <c r="K56" s="27"/>
      <c r="L56" s="27"/>
      <c r="M56" s="27"/>
      <c r="N56" s="27"/>
      <c r="O56" s="27"/>
      <c r="P56" s="27"/>
      <c r="Q56" s="27"/>
      <c r="R56" s="27"/>
      <c r="S56" s="27"/>
      <c r="T56" s="27"/>
      <c r="U56" s="27"/>
      <c r="V56" s="27"/>
      <c r="W56" s="27"/>
      <c r="X56" s="27"/>
      <c r="Y56" s="27"/>
      <c r="Z56" s="27"/>
      <c r="AA56" s="27"/>
    </row>
    <row r="57" spans="1:59" s="207" customFormat="1" ht="24.5" thickBot="1">
      <c r="A57" s="187" t="s">
        <v>518</v>
      </c>
      <c r="B57" s="187" t="s">
        <v>171</v>
      </c>
      <c r="C57" s="205" t="s">
        <v>189</v>
      </c>
      <c r="D57" s="205" t="s">
        <v>192</v>
      </c>
      <c r="E57" s="205" t="s">
        <v>196</v>
      </c>
      <c r="F57" s="205" t="s">
        <v>216</v>
      </c>
      <c r="G57" s="205" t="s">
        <v>219</v>
      </c>
      <c r="H57" s="205" t="s">
        <v>238</v>
      </c>
      <c r="I57" s="205" t="s">
        <v>239</v>
      </c>
      <c r="J57" s="205" t="s">
        <v>242</v>
      </c>
      <c r="K57" s="205" t="s">
        <v>245</v>
      </c>
      <c r="L57" s="205" t="s">
        <v>252</v>
      </c>
      <c r="M57" s="205" t="s">
        <v>257</v>
      </c>
      <c r="N57" s="205" t="s">
        <v>259</v>
      </c>
      <c r="O57" s="205" t="s">
        <v>262</v>
      </c>
      <c r="P57" s="205" t="s">
        <v>267</v>
      </c>
      <c r="Q57" s="205" t="s">
        <v>275</v>
      </c>
      <c r="R57" s="205" t="s">
        <v>282</v>
      </c>
      <c r="S57" s="205" t="s">
        <v>285</v>
      </c>
      <c r="T57" s="205" t="s">
        <v>365</v>
      </c>
      <c r="U57" s="205" t="s">
        <v>416</v>
      </c>
      <c r="V57" s="205" t="s">
        <v>418</v>
      </c>
      <c r="W57" s="205" t="s">
        <v>418</v>
      </c>
      <c r="X57" s="205" t="s">
        <v>431</v>
      </c>
      <c r="Y57" s="205" t="s">
        <v>437</v>
      </c>
      <c r="Z57" s="205" t="s">
        <v>441</v>
      </c>
      <c r="AA57" s="205" t="s">
        <v>527</v>
      </c>
      <c r="AR57" s="216"/>
      <c r="AS57" s="216"/>
      <c r="AU57" s="216"/>
      <c r="AV57" s="216"/>
      <c r="AW57" s="216"/>
      <c r="AX57" s="216"/>
      <c r="AY57" s="216"/>
      <c r="AZ57" s="216"/>
      <c r="BA57" s="216"/>
      <c r="BB57" s="216"/>
    </row>
    <row r="58" spans="1:59">
      <c r="A58" s="109" t="s">
        <v>59</v>
      </c>
      <c r="B58" s="114" t="s">
        <v>146</v>
      </c>
      <c r="C58" s="72">
        <v>-296</v>
      </c>
      <c r="D58" s="72">
        <v>-651</v>
      </c>
      <c r="E58" s="72">
        <v>-1005</v>
      </c>
      <c r="F58" s="72">
        <v>-1457</v>
      </c>
      <c r="G58" s="72">
        <v>-253</v>
      </c>
      <c r="H58" s="72">
        <v>-594</v>
      </c>
      <c r="I58" s="72">
        <v>-922</v>
      </c>
      <c r="J58" s="72">
        <v>-1322</v>
      </c>
      <c r="K58" s="72">
        <v>-269</v>
      </c>
      <c r="L58" s="72">
        <v>-634</v>
      </c>
      <c r="M58" s="72">
        <v>-1001</v>
      </c>
      <c r="N58" s="72">
        <v>-1500</v>
      </c>
      <c r="O58" s="72">
        <v>-328</v>
      </c>
      <c r="P58" s="72">
        <v>-733</v>
      </c>
      <c r="Q58" s="72">
        <v>-1170</v>
      </c>
      <c r="R58" s="72">
        <v>-1663</v>
      </c>
      <c r="S58" s="72">
        <v>-389</v>
      </c>
      <c r="T58" s="72">
        <v>-870</v>
      </c>
      <c r="U58" s="72">
        <v>-1325</v>
      </c>
      <c r="V58" s="72">
        <v>-1922</v>
      </c>
      <c r="W58" s="72">
        <v>-418</v>
      </c>
      <c r="X58" s="72">
        <v>-920</v>
      </c>
      <c r="Y58" s="72">
        <v>-1635</v>
      </c>
      <c r="Z58" s="72">
        <v>-2349</v>
      </c>
      <c r="AA58" s="72">
        <v>-757</v>
      </c>
      <c r="AC58" s="223"/>
      <c r="BB58" s="70"/>
      <c r="BD58" s="28"/>
    </row>
    <row r="59" spans="1:59" ht="24">
      <c r="A59" s="109" t="s">
        <v>69</v>
      </c>
      <c r="B59" s="115" t="s">
        <v>147</v>
      </c>
      <c r="C59" s="73">
        <v>-458</v>
      </c>
      <c r="D59" s="73">
        <v>-742</v>
      </c>
      <c r="E59" s="73">
        <v>-1145</v>
      </c>
      <c r="F59" s="73">
        <v>-1505</v>
      </c>
      <c r="G59" s="73">
        <v>-431</v>
      </c>
      <c r="H59" s="73">
        <v>-917</v>
      </c>
      <c r="I59" s="73">
        <v>-1442</v>
      </c>
      <c r="J59" s="73">
        <v>-1951</v>
      </c>
      <c r="K59" s="73">
        <v>-495</v>
      </c>
      <c r="L59" s="73">
        <v>-1052</v>
      </c>
      <c r="M59" s="73">
        <v>-1614</v>
      </c>
      <c r="N59" s="73">
        <v>-2324</v>
      </c>
      <c r="O59" s="73">
        <v>-680</v>
      </c>
      <c r="P59" s="73">
        <v>-1597</v>
      </c>
      <c r="Q59" s="73">
        <v>-2645</v>
      </c>
      <c r="R59" s="73">
        <v>-4039</v>
      </c>
      <c r="S59" s="73">
        <v>-1189</v>
      </c>
      <c r="T59" s="73">
        <v>-2707</v>
      </c>
      <c r="U59" s="73">
        <v>-4083</v>
      </c>
      <c r="V59" s="73">
        <v>-5407</v>
      </c>
      <c r="W59" s="73">
        <v>-882</v>
      </c>
      <c r="X59" s="73">
        <v>-1758</v>
      </c>
      <c r="Y59" s="73">
        <v>-2662</v>
      </c>
      <c r="Z59" s="73">
        <v>-4083</v>
      </c>
      <c r="AA59" s="73">
        <v>-884</v>
      </c>
      <c r="AC59" s="223"/>
      <c r="BB59" s="70"/>
      <c r="BD59" s="28"/>
      <c r="BG59" s="28"/>
    </row>
    <row r="60" spans="1:59">
      <c r="A60" s="109" t="s">
        <v>60</v>
      </c>
      <c r="B60" s="115" t="s">
        <v>148</v>
      </c>
      <c r="C60" s="73">
        <v>-3581</v>
      </c>
      <c r="D60" s="73">
        <v>-7432</v>
      </c>
      <c r="E60" s="73">
        <v>-10917</v>
      </c>
      <c r="F60" s="73">
        <v>-14536</v>
      </c>
      <c r="G60" s="73">
        <v>-3165</v>
      </c>
      <c r="H60" s="73">
        <v>-9092</v>
      </c>
      <c r="I60" s="73">
        <v>-13074</v>
      </c>
      <c r="J60" s="73">
        <v>-18485</v>
      </c>
      <c r="K60" s="73">
        <v>-4394</v>
      </c>
      <c r="L60" s="73">
        <v>-10612</v>
      </c>
      <c r="M60" s="73">
        <v>-14840</v>
      </c>
      <c r="N60" s="73">
        <v>-19328</v>
      </c>
      <c r="O60" s="73">
        <v>-4081</v>
      </c>
      <c r="P60" s="73">
        <v>-8687</v>
      </c>
      <c r="Q60" s="73">
        <v>-13852</v>
      </c>
      <c r="R60" s="73">
        <v>-20936</v>
      </c>
      <c r="S60" s="73">
        <v>-6925</v>
      </c>
      <c r="T60" s="73">
        <v>-14366</v>
      </c>
      <c r="U60" s="73">
        <v>-22462</v>
      </c>
      <c r="V60" s="73">
        <v>-30854</v>
      </c>
      <c r="W60" s="73">
        <v>-8190</v>
      </c>
      <c r="X60" s="73">
        <v>-18284</v>
      </c>
      <c r="Y60" s="73">
        <v>-32636</v>
      </c>
      <c r="Z60" s="73">
        <v>-42587</v>
      </c>
      <c r="AA60" s="73">
        <v>-13609</v>
      </c>
      <c r="AC60" s="223"/>
      <c r="AE60" s="28"/>
      <c r="BB60" s="70"/>
      <c r="BD60" s="28"/>
      <c r="BE60" s="28"/>
      <c r="BG60" s="28"/>
    </row>
    <row r="61" spans="1:59">
      <c r="A61" s="109"/>
      <c r="B61" s="115"/>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C61" s="223"/>
      <c r="AE61" s="28"/>
      <c r="BB61" s="70"/>
    </row>
    <row r="62" spans="1:59">
      <c r="A62" s="109" t="s">
        <v>62</v>
      </c>
      <c r="B62" s="115" t="s">
        <v>150</v>
      </c>
      <c r="C62" s="73">
        <v>-12451</v>
      </c>
      <c r="D62" s="73">
        <v>-26764</v>
      </c>
      <c r="E62" s="73">
        <v>-40613</v>
      </c>
      <c r="F62" s="73">
        <v>-54635</v>
      </c>
      <c r="G62" s="73">
        <v>-13881</v>
      </c>
      <c r="H62" s="73">
        <v>-28725</v>
      </c>
      <c r="I62" s="73">
        <v>-44520</v>
      </c>
      <c r="J62" s="73">
        <v>-60350</v>
      </c>
      <c r="K62" s="73">
        <v>-15775</v>
      </c>
      <c r="L62" s="73">
        <v>-32966</v>
      </c>
      <c r="M62" s="73">
        <v>-51321</v>
      </c>
      <c r="N62" s="73">
        <v>-69186</v>
      </c>
      <c r="O62" s="73">
        <v>-17380</v>
      </c>
      <c r="P62" s="73">
        <v>-37099</v>
      </c>
      <c r="Q62" s="73">
        <v>-57226</v>
      </c>
      <c r="R62" s="73">
        <v>-77596</v>
      </c>
      <c r="S62" s="73">
        <v>-20515</v>
      </c>
      <c r="T62" s="73">
        <v>-43598</v>
      </c>
      <c r="U62" s="73">
        <v>-66973</v>
      </c>
      <c r="V62" s="73">
        <v>-89297</v>
      </c>
      <c r="W62" s="73">
        <v>-21486</v>
      </c>
      <c r="X62" s="73">
        <v>-47991</v>
      </c>
      <c r="Y62" s="73">
        <v>-82295</v>
      </c>
      <c r="Z62" s="73">
        <v>-115257</v>
      </c>
      <c r="AA62" s="73">
        <v>-27601</v>
      </c>
      <c r="AC62" s="223"/>
      <c r="AE62" s="28"/>
      <c r="BB62" s="70"/>
      <c r="BD62" s="28"/>
      <c r="BE62" s="28"/>
      <c r="BG62" s="28"/>
    </row>
    <row r="63" spans="1:59">
      <c r="A63" s="109"/>
      <c r="B63" s="115"/>
      <c r="C63" s="75"/>
      <c r="D63" s="75"/>
      <c r="E63" s="75"/>
      <c r="F63" s="75"/>
      <c r="G63" s="75"/>
      <c r="H63" s="75"/>
      <c r="I63" s="75"/>
      <c r="J63" s="75"/>
      <c r="K63" s="75"/>
      <c r="L63" s="75"/>
      <c r="M63" s="75"/>
      <c r="N63" s="75"/>
      <c r="O63" s="75"/>
      <c r="P63" s="75"/>
      <c r="Q63" s="75"/>
      <c r="R63" s="75"/>
      <c r="S63" s="75"/>
      <c r="T63" s="75"/>
      <c r="U63" s="75"/>
      <c r="V63" s="75"/>
      <c r="W63" s="75"/>
      <c r="X63" s="75"/>
      <c r="Y63" s="75"/>
      <c r="Z63" s="75"/>
      <c r="AA63" s="75"/>
      <c r="AC63" s="223"/>
      <c r="BB63" s="70"/>
    </row>
    <row r="64" spans="1:59">
      <c r="A64" s="109"/>
      <c r="B64" s="115"/>
      <c r="C64" s="73"/>
      <c r="D64" s="73"/>
      <c r="E64" s="73"/>
      <c r="F64" s="73"/>
      <c r="G64" s="73"/>
      <c r="H64" s="73"/>
      <c r="I64" s="73"/>
      <c r="J64" s="73"/>
      <c r="K64" s="73"/>
      <c r="L64" s="73"/>
      <c r="M64" s="73"/>
      <c r="N64" s="73"/>
      <c r="O64" s="73"/>
      <c r="P64" s="73"/>
      <c r="Q64" s="73"/>
      <c r="R64" s="73"/>
      <c r="S64" s="73"/>
      <c r="T64" s="73"/>
      <c r="U64" s="73"/>
      <c r="V64" s="73"/>
      <c r="W64" s="73"/>
      <c r="X64" s="73"/>
      <c r="Y64" s="73"/>
      <c r="Z64" s="73"/>
      <c r="AA64" s="73"/>
      <c r="AC64" s="223"/>
      <c r="AE64" s="28"/>
      <c r="BB64" s="70"/>
    </row>
    <row r="65" spans="1:59">
      <c r="A65" s="109" t="s">
        <v>65</v>
      </c>
      <c r="B65" s="115" t="s">
        <v>153</v>
      </c>
      <c r="C65" s="73">
        <v>-952</v>
      </c>
      <c r="D65" s="73">
        <v>-1728</v>
      </c>
      <c r="E65" s="73">
        <v>-2619</v>
      </c>
      <c r="F65" s="73">
        <v>-3366</v>
      </c>
      <c r="G65" s="73">
        <v>-788</v>
      </c>
      <c r="H65" s="73">
        <v>-1550</v>
      </c>
      <c r="I65" s="73">
        <v>-2400</v>
      </c>
      <c r="J65" s="73">
        <v>-3386</v>
      </c>
      <c r="K65" s="73">
        <v>-814</v>
      </c>
      <c r="L65" s="73">
        <v>-1669</v>
      </c>
      <c r="M65" s="73">
        <v>-2509</v>
      </c>
      <c r="N65" s="73">
        <v>-3597</v>
      </c>
      <c r="O65" s="73">
        <v>-1054</v>
      </c>
      <c r="P65" s="73">
        <v>-1925</v>
      </c>
      <c r="Q65" s="73">
        <v>-2715</v>
      </c>
      <c r="R65" s="73">
        <v>-3511</v>
      </c>
      <c r="S65" s="73">
        <v>-905</v>
      </c>
      <c r="T65" s="73">
        <v>-1714</v>
      </c>
      <c r="U65" s="73">
        <v>-2460</v>
      </c>
      <c r="V65" s="73">
        <v>-3111</v>
      </c>
      <c r="W65" s="73">
        <v>-627</v>
      </c>
      <c r="X65" s="73">
        <v>-1176</v>
      </c>
      <c r="Y65" s="73">
        <v>-1713</v>
      </c>
      <c r="Z65" s="73">
        <v>-2262</v>
      </c>
      <c r="AA65" s="73">
        <v>-794</v>
      </c>
      <c r="AC65" s="223"/>
      <c r="BB65" s="70"/>
      <c r="BD65" s="28"/>
    </row>
    <row r="66" spans="1:59" ht="24">
      <c r="A66" s="109" t="s">
        <v>66</v>
      </c>
      <c r="B66" s="115" t="s">
        <v>157</v>
      </c>
      <c r="C66" s="73">
        <v>-831</v>
      </c>
      <c r="D66" s="73">
        <v>-2142</v>
      </c>
      <c r="E66" s="73">
        <v>-3273</v>
      </c>
      <c r="F66" s="73">
        <v>-4939</v>
      </c>
      <c r="G66" s="73">
        <v>-1462</v>
      </c>
      <c r="H66" s="73">
        <v>-3382</v>
      </c>
      <c r="I66" s="73">
        <v>-5466</v>
      </c>
      <c r="J66" s="73">
        <v>-7599</v>
      </c>
      <c r="K66" s="73">
        <v>-2153</v>
      </c>
      <c r="L66" s="73">
        <v>-4387</v>
      </c>
      <c r="M66" s="73">
        <v>-6491</v>
      </c>
      <c r="N66" s="73">
        <v>-8667</v>
      </c>
      <c r="O66" s="73">
        <v>-2238</v>
      </c>
      <c r="P66" s="73">
        <v>-4851</v>
      </c>
      <c r="Q66" s="73">
        <v>-7550</v>
      </c>
      <c r="R66" s="73">
        <v>-10244</v>
      </c>
      <c r="S66" s="73">
        <v>-2635</v>
      </c>
      <c r="T66" s="73">
        <v>-5164</v>
      </c>
      <c r="U66" s="73">
        <v>-7341</v>
      </c>
      <c r="V66" s="73">
        <v>-9521</v>
      </c>
      <c r="W66" s="73">
        <v>-2225</v>
      </c>
      <c r="X66" s="73">
        <v>-4373</v>
      </c>
      <c r="Y66" s="73">
        <v>-7574</v>
      </c>
      <c r="Z66" s="73">
        <v>-10309</v>
      </c>
      <c r="AA66" s="73">
        <v>-3068</v>
      </c>
      <c r="AC66" s="223"/>
      <c r="AE66" s="28"/>
      <c r="BB66" s="70"/>
      <c r="BD66" s="28"/>
      <c r="BE66" s="28"/>
      <c r="BG66" s="28"/>
    </row>
    <row r="67" spans="1:59" ht="12.5" thickBot="1">
      <c r="A67" s="109" t="s">
        <v>67</v>
      </c>
      <c r="B67" s="115" t="s">
        <v>155</v>
      </c>
      <c r="C67" s="73">
        <v>-775</v>
      </c>
      <c r="D67" s="73">
        <v>-1383</v>
      </c>
      <c r="E67" s="73">
        <v>-2189</v>
      </c>
      <c r="F67" s="73">
        <v>-3210</v>
      </c>
      <c r="G67" s="73">
        <v>-1084</v>
      </c>
      <c r="H67" s="73">
        <v>-2584</v>
      </c>
      <c r="I67" s="73">
        <v>-3818</v>
      </c>
      <c r="J67" s="73">
        <v>-7014</v>
      </c>
      <c r="K67" s="73">
        <v>-3130</v>
      </c>
      <c r="L67" s="73">
        <v>-4867</v>
      </c>
      <c r="M67" s="73">
        <v>-7458</v>
      </c>
      <c r="N67" s="73">
        <v>-12381</v>
      </c>
      <c r="O67" s="73">
        <v>-4220</v>
      </c>
      <c r="P67" s="73">
        <v>-8735</v>
      </c>
      <c r="Q67" s="73">
        <v>-13995</v>
      </c>
      <c r="R67" s="73">
        <v>-17746</v>
      </c>
      <c r="S67" s="73">
        <v>-4140</v>
      </c>
      <c r="T67" s="73">
        <v>-9555</v>
      </c>
      <c r="U67" s="73">
        <v>-15764</v>
      </c>
      <c r="V67" s="73">
        <v>-23064</v>
      </c>
      <c r="W67" s="73">
        <v>-4528</v>
      </c>
      <c r="X67" s="73">
        <v>-10126</v>
      </c>
      <c r="Y67" s="73">
        <v>-16077</v>
      </c>
      <c r="Z67" s="73">
        <v>-23887</v>
      </c>
      <c r="AA67" s="73">
        <v>-6423</v>
      </c>
      <c r="AC67" s="223"/>
      <c r="AE67" s="28"/>
      <c r="BB67" s="70"/>
      <c r="BD67" s="28"/>
      <c r="BE67" s="28"/>
      <c r="BG67" s="28"/>
    </row>
    <row r="68" spans="1:59" ht="12.5" thickBot="1">
      <c r="A68" s="110" t="s">
        <v>68</v>
      </c>
      <c r="B68" s="116" t="s">
        <v>156</v>
      </c>
      <c r="C68" s="76">
        <f t="shared" ref="C68:J68" si="26">SUM(C58:C67)</f>
        <v>-19344</v>
      </c>
      <c r="D68" s="76">
        <f t="shared" si="26"/>
        <v>-40842</v>
      </c>
      <c r="E68" s="76">
        <f t="shared" si="26"/>
        <v>-61761</v>
      </c>
      <c r="F68" s="76">
        <f t="shared" si="26"/>
        <v>-83648</v>
      </c>
      <c r="G68" s="76">
        <f t="shared" si="26"/>
        <v>-21064</v>
      </c>
      <c r="H68" s="76">
        <f t="shared" si="26"/>
        <v>-46844</v>
      </c>
      <c r="I68" s="76">
        <f t="shared" si="26"/>
        <v>-71642</v>
      </c>
      <c r="J68" s="76">
        <f t="shared" si="26"/>
        <v>-100107</v>
      </c>
      <c r="K68" s="76">
        <v>-27030</v>
      </c>
      <c r="L68" s="76">
        <f t="shared" ref="L68:Q68" si="27">SUM(L58:L67)</f>
        <v>-56187</v>
      </c>
      <c r="M68" s="76">
        <f t="shared" si="27"/>
        <v>-85234</v>
      </c>
      <c r="N68" s="76">
        <f t="shared" si="27"/>
        <v>-116983</v>
      </c>
      <c r="O68" s="76">
        <f t="shared" si="27"/>
        <v>-29981</v>
      </c>
      <c r="P68" s="76">
        <f t="shared" si="27"/>
        <v>-63627</v>
      </c>
      <c r="Q68" s="76">
        <f t="shared" si="27"/>
        <v>-99153</v>
      </c>
      <c r="R68" s="76">
        <f t="shared" ref="R68:Y68" si="28">SUM(R58:R67)</f>
        <v>-135735</v>
      </c>
      <c r="S68" s="76">
        <f t="shared" si="28"/>
        <v>-36698</v>
      </c>
      <c r="T68" s="76">
        <f t="shared" si="28"/>
        <v>-77974</v>
      </c>
      <c r="U68" s="76">
        <f t="shared" si="28"/>
        <v>-120408</v>
      </c>
      <c r="V68" s="76">
        <f t="shared" si="28"/>
        <v>-163176</v>
      </c>
      <c r="W68" s="76">
        <f t="shared" si="28"/>
        <v>-38356</v>
      </c>
      <c r="X68" s="76">
        <f t="shared" si="28"/>
        <v>-84628</v>
      </c>
      <c r="Y68" s="76">
        <f t="shared" si="28"/>
        <v>-144592</v>
      </c>
      <c r="Z68" s="76">
        <f>SUM(Z58:Z67)</f>
        <v>-200734</v>
      </c>
      <c r="AA68" s="76">
        <f>SUM(AA58:AA67)</f>
        <v>-53136</v>
      </c>
      <c r="AC68" s="223"/>
      <c r="AE68" s="28"/>
      <c r="BB68" s="70"/>
      <c r="BD68" s="28"/>
      <c r="BE68" s="28"/>
      <c r="BG68" s="28"/>
    </row>
    <row r="69" spans="1:59">
      <c r="A69" s="117"/>
      <c r="C69" s="27"/>
      <c r="D69" s="27"/>
      <c r="E69" s="27"/>
      <c r="F69" s="27"/>
      <c r="G69" s="27"/>
      <c r="H69" s="27"/>
      <c r="I69" s="27"/>
      <c r="J69" s="27"/>
      <c r="K69" s="27"/>
      <c r="L69" s="27"/>
      <c r="M69" s="27"/>
      <c r="N69" s="27"/>
      <c r="O69" s="27"/>
      <c r="P69" s="27"/>
      <c r="Q69" s="27"/>
      <c r="R69" s="27"/>
      <c r="S69" s="27"/>
      <c r="T69" s="27"/>
      <c r="U69" s="27"/>
      <c r="V69" s="27"/>
      <c r="W69" s="27"/>
      <c r="X69" s="27"/>
      <c r="Y69" s="27"/>
      <c r="Z69" s="27"/>
      <c r="AA69" s="27"/>
    </row>
    <row r="70" spans="1:59" s="207" customFormat="1" ht="24.5" thickBot="1">
      <c r="A70" s="187" t="s">
        <v>519</v>
      </c>
      <c r="B70" s="187" t="s">
        <v>169</v>
      </c>
      <c r="C70" s="205" t="s">
        <v>189</v>
      </c>
      <c r="D70" s="205" t="s">
        <v>192</v>
      </c>
      <c r="E70" s="205" t="s">
        <v>196</v>
      </c>
      <c r="F70" s="205" t="s">
        <v>216</v>
      </c>
      <c r="G70" s="205" t="s">
        <v>219</v>
      </c>
      <c r="H70" s="205" t="s">
        <v>238</v>
      </c>
      <c r="I70" s="205" t="s">
        <v>239</v>
      </c>
      <c r="J70" s="205" t="s">
        <v>242</v>
      </c>
      <c r="K70" s="205" t="s">
        <v>245</v>
      </c>
      <c r="L70" s="205" t="s">
        <v>252</v>
      </c>
      <c r="M70" s="205" t="s">
        <v>257</v>
      </c>
      <c r="N70" s="205" t="s">
        <v>259</v>
      </c>
      <c r="O70" s="205" t="s">
        <v>262</v>
      </c>
      <c r="P70" s="205" t="s">
        <v>267</v>
      </c>
      <c r="Q70" s="205" t="s">
        <v>275</v>
      </c>
      <c r="R70" s="205" t="s">
        <v>282</v>
      </c>
      <c r="S70" s="205" t="s">
        <v>285</v>
      </c>
      <c r="T70" s="205" t="s">
        <v>365</v>
      </c>
      <c r="U70" s="205" t="s">
        <v>416</v>
      </c>
      <c r="V70" s="205" t="s">
        <v>418</v>
      </c>
      <c r="W70" s="205" t="s">
        <v>418</v>
      </c>
      <c r="X70" s="205" t="s">
        <v>431</v>
      </c>
      <c r="Y70" s="205" t="s">
        <v>437</v>
      </c>
      <c r="Z70" s="205" t="s">
        <v>441</v>
      </c>
      <c r="AA70" s="205" t="s">
        <v>527</v>
      </c>
      <c r="AR70" s="216"/>
      <c r="AS70" s="216"/>
      <c r="AU70" s="216"/>
      <c r="AV70" s="216"/>
      <c r="AW70" s="216"/>
      <c r="AX70" s="216"/>
      <c r="AY70" s="216"/>
      <c r="AZ70" s="216"/>
      <c r="BA70" s="216"/>
      <c r="BB70" s="216"/>
    </row>
    <row r="71" spans="1:59">
      <c r="A71" s="109" t="s">
        <v>59</v>
      </c>
      <c r="B71" s="114" t="s">
        <v>146</v>
      </c>
      <c r="C71" s="72">
        <f>C45+C58</f>
        <v>22932</v>
      </c>
      <c r="D71" s="72">
        <f t="shared" ref="C71:R81" si="29">D45+D58</f>
        <v>46125</v>
      </c>
      <c r="E71" s="72">
        <f t="shared" si="29"/>
        <v>69122</v>
      </c>
      <c r="F71" s="72">
        <f t="shared" si="29"/>
        <v>91490</v>
      </c>
      <c r="G71" s="72">
        <f t="shared" si="29"/>
        <v>21685</v>
      </c>
      <c r="H71" s="72">
        <f t="shared" si="29"/>
        <v>42941</v>
      </c>
      <c r="I71" s="72">
        <f t="shared" si="29"/>
        <v>65099</v>
      </c>
      <c r="J71" s="72">
        <f t="shared" si="29"/>
        <v>84781</v>
      </c>
      <c r="K71" s="72">
        <f t="shared" si="29"/>
        <v>19704</v>
      </c>
      <c r="L71" s="72">
        <f t="shared" si="29"/>
        <v>40019</v>
      </c>
      <c r="M71" s="72">
        <f t="shared" si="29"/>
        <v>59852</v>
      </c>
      <c r="N71" s="72">
        <f t="shared" si="29"/>
        <v>79851</v>
      </c>
      <c r="O71" s="72">
        <f t="shared" si="29"/>
        <v>19354</v>
      </c>
      <c r="P71" s="72">
        <f t="shared" si="29"/>
        <v>38639</v>
      </c>
      <c r="Q71" s="72">
        <f t="shared" si="29"/>
        <v>56882</v>
      </c>
      <c r="R71" s="72">
        <f t="shared" si="29"/>
        <v>76050</v>
      </c>
      <c r="S71" s="72">
        <f t="shared" ref="S71:T81" si="30">S45+S58</f>
        <v>20158</v>
      </c>
      <c r="T71" s="72">
        <f t="shared" si="30"/>
        <v>40534</v>
      </c>
      <c r="U71" s="72">
        <f t="shared" ref="U71:V80" si="31">U45+U58</f>
        <v>60842</v>
      </c>
      <c r="V71" s="72">
        <f t="shared" si="31"/>
        <v>79114</v>
      </c>
      <c r="W71" s="72">
        <f t="shared" ref="W71:X80" si="32">W45+W58</f>
        <v>18716</v>
      </c>
      <c r="X71" s="72">
        <f t="shared" si="32"/>
        <v>37341</v>
      </c>
      <c r="Y71" s="72">
        <f t="shared" ref="Y71:Z80" si="33">Y45+Y58</f>
        <v>56543</v>
      </c>
      <c r="Z71" s="72">
        <f t="shared" si="33"/>
        <v>74519</v>
      </c>
      <c r="AA71" s="72">
        <f t="shared" ref="AA71:AA80" si="34">AA45+AA58</f>
        <v>18970</v>
      </c>
    </row>
    <row r="72" spans="1:59" ht="24">
      <c r="A72" s="109" t="s">
        <v>69</v>
      </c>
      <c r="B72" s="115" t="s">
        <v>147</v>
      </c>
      <c r="C72" s="73">
        <f>C46+C59</f>
        <v>10876</v>
      </c>
      <c r="D72" s="73">
        <f>D46+D59</f>
        <v>22227</v>
      </c>
      <c r="E72" s="73">
        <f>E46+E59</f>
        <v>33627</v>
      </c>
      <c r="F72" s="73">
        <f t="shared" si="29"/>
        <v>45331</v>
      </c>
      <c r="G72" s="73">
        <f t="shared" si="29"/>
        <v>11230</v>
      </c>
      <c r="H72" s="73">
        <f t="shared" si="29"/>
        <v>23133</v>
      </c>
      <c r="I72" s="73">
        <f t="shared" si="29"/>
        <v>35081</v>
      </c>
      <c r="J72" s="73">
        <f t="shared" si="29"/>
        <v>47699</v>
      </c>
      <c r="K72" s="73">
        <f t="shared" si="29"/>
        <v>12063</v>
      </c>
      <c r="L72" s="73">
        <f t="shared" si="29"/>
        <v>25025</v>
      </c>
      <c r="M72" s="73">
        <f t="shared" si="29"/>
        <v>38070</v>
      </c>
      <c r="N72" s="73">
        <f t="shared" si="29"/>
        <v>51531</v>
      </c>
      <c r="O72" s="73">
        <f t="shared" si="29"/>
        <v>13272</v>
      </c>
      <c r="P72" s="73">
        <f t="shared" si="29"/>
        <v>27644</v>
      </c>
      <c r="Q72" s="73">
        <f t="shared" si="29"/>
        <v>42900</v>
      </c>
      <c r="R72" s="73">
        <f t="shared" si="29"/>
        <v>59155</v>
      </c>
      <c r="S72" s="73">
        <f t="shared" si="30"/>
        <v>17405</v>
      </c>
      <c r="T72" s="73">
        <f t="shared" si="30"/>
        <v>34205</v>
      </c>
      <c r="U72" s="73">
        <f t="shared" si="31"/>
        <v>50958</v>
      </c>
      <c r="V72" s="73">
        <f t="shared" si="31"/>
        <v>68275</v>
      </c>
      <c r="W72" s="73">
        <f t="shared" si="32"/>
        <v>16413</v>
      </c>
      <c r="X72" s="73">
        <f t="shared" si="32"/>
        <v>34175</v>
      </c>
      <c r="Y72" s="73">
        <f t="shared" si="33"/>
        <v>52209</v>
      </c>
      <c r="Z72" s="73">
        <f t="shared" si="33"/>
        <v>69068</v>
      </c>
      <c r="AA72" s="73">
        <f t="shared" si="34"/>
        <v>15425</v>
      </c>
    </row>
    <row r="73" spans="1:59">
      <c r="A73" s="109" t="s">
        <v>60</v>
      </c>
      <c r="B73" s="115" t="s">
        <v>148</v>
      </c>
      <c r="C73" s="73">
        <f t="shared" si="29"/>
        <v>19378</v>
      </c>
      <c r="D73" s="73">
        <f t="shared" si="29"/>
        <v>36320</v>
      </c>
      <c r="E73" s="73">
        <f t="shared" si="29"/>
        <v>52641</v>
      </c>
      <c r="F73" s="73">
        <f t="shared" si="29"/>
        <v>71873</v>
      </c>
      <c r="G73" s="73">
        <f t="shared" si="29"/>
        <v>25233</v>
      </c>
      <c r="H73" s="73">
        <f t="shared" si="29"/>
        <v>48678</v>
      </c>
      <c r="I73" s="73">
        <f t="shared" si="29"/>
        <v>74865</v>
      </c>
      <c r="J73" s="73">
        <f t="shared" si="29"/>
        <v>99880</v>
      </c>
      <c r="K73" s="73">
        <f t="shared" si="29"/>
        <v>31026</v>
      </c>
      <c r="L73" s="73">
        <f t="shared" si="29"/>
        <v>60526</v>
      </c>
      <c r="M73" s="73">
        <f t="shared" si="29"/>
        <v>89841</v>
      </c>
      <c r="N73" s="73">
        <f t="shared" si="29"/>
        <v>121121</v>
      </c>
      <c r="O73" s="73">
        <f t="shared" si="29"/>
        <v>34634</v>
      </c>
      <c r="P73" s="73">
        <f t="shared" si="29"/>
        <v>66249</v>
      </c>
      <c r="Q73" s="73">
        <f t="shared" si="29"/>
        <v>99031</v>
      </c>
      <c r="R73" s="73">
        <f t="shared" si="29"/>
        <v>132279</v>
      </c>
      <c r="S73" s="73">
        <f t="shared" si="30"/>
        <v>34622</v>
      </c>
      <c r="T73" s="73">
        <f t="shared" si="30"/>
        <v>67225</v>
      </c>
      <c r="U73" s="73">
        <f t="shared" si="31"/>
        <v>98993</v>
      </c>
      <c r="V73" s="73">
        <f t="shared" si="31"/>
        <v>135694</v>
      </c>
      <c r="W73" s="73">
        <f t="shared" si="32"/>
        <v>36264</v>
      </c>
      <c r="X73" s="73">
        <f t="shared" si="32"/>
        <v>72841</v>
      </c>
      <c r="Y73" s="73">
        <f t="shared" si="33"/>
        <v>114341</v>
      </c>
      <c r="Z73" s="73">
        <f t="shared" si="33"/>
        <v>160952</v>
      </c>
      <c r="AA73" s="73">
        <f t="shared" si="34"/>
        <v>35792</v>
      </c>
    </row>
    <row r="74" spans="1:59">
      <c r="A74" s="109" t="s">
        <v>61</v>
      </c>
      <c r="B74" s="115" t="s">
        <v>149</v>
      </c>
      <c r="C74" s="73">
        <f t="shared" si="29"/>
        <v>3602</v>
      </c>
      <c r="D74" s="73">
        <f t="shared" si="29"/>
        <v>6722</v>
      </c>
      <c r="E74" s="73">
        <f t="shared" si="29"/>
        <v>9713</v>
      </c>
      <c r="F74" s="73">
        <f t="shared" si="29"/>
        <v>12779</v>
      </c>
      <c r="G74" s="73">
        <f t="shared" si="29"/>
        <v>3576</v>
      </c>
      <c r="H74" s="73">
        <f t="shared" si="29"/>
        <v>6595</v>
      </c>
      <c r="I74" s="73">
        <f t="shared" si="29"/>
        <v>9497</v>
      </c>
      <c r="J74" s="73">
        <f t="shared" si="29"/>
        <v>12517</v>
      </c>
      <c r="K74" s="73">
        <f t="shared" si="29"/>
        <v>3748</v>
      </c>
      <c r="L74" s="73">
        <f t="shared" si="29"/>
        <v>6669</v>
      </c>
      <c r="M74" s="73">
        <f t="shared" si="29"/>
        <v>9286</v>
      </c>
      <c r="N74" s="73">
        <f t="shared" si="29"/>
        <v>12261</v>
      </c>
      <c r="O74" s="73">
        <f t="shared" si="29"/>
        <v>3640</v>
      </c>
      <c r="P74" s="73">
        <f t="shared" si="29"/>
        <v>6539</v>
      </c>
      <c r="Q74" s="73">
        <f t="shared" si="29"/>
        <v>9410</v>
      </c>
      <c r="R74" s="73">
        <f t="shared" si="29"/>
        <v>12158</v>
      </c>
      <c r="S74" s="73">
        <f t="shared" si="30"/>
        <v>3810</v>
      </c>
      <c r="T74" s="73">
        <f t="shared" si="30"/>
        <v>7165</v>
      </c>
      <c r="U74" s="73">
        <f t="shared" si="31"/>
        <v>10775</v>
      </c>
      <c r="V74" s="73">
        <f t="shared" si="31"/>
        <v>15172</v>
      </c>
      <c r="W74" s="73">
        <f t="shared" si="32"/>
        <v>3569</v>
      </c>
      <c r="X74" s="73">
        <f t="shared" si="32"/>
        <v>6738</v>
      </c>
      <c r="Y74" s="73">
        <f t="shared" si="33"/>
        <v>10261</v>
      </c>
      <c r="Z74" s="73">
        <f t="shared" si="33"/>
        <v>13798</v>
      </c>
      <c r="AA74" s="73">
        <f t="shared" si="34"/>
        <v>3773</v>
      </c>
    </row>
    <row r="75" spans="1:59">
      <c r="A75" s="109" t="s">
        <v>62</v>
      </c>
      <c r="B75" s="115" t="s">
        <v>150</v>
      </c>
      <c r="C75" s="73">
        <f t="shared" si="29"/>
        <v>37848</v>
      </c>
      <c r="D75" s="73">
        <f t="shared" si="29"/>
        <v>77227</v>
      </c>
      <c r="E75" s="73">
        <f t="shared" si="29"/>
        <v>102913</v>
      </c>
      <c r="F75" s="73">
        <f t="shared" si="29"/>
        <v>128382</v>
      </c>
      <c r="G75" s="73">
        <f t="shared" si="29"/>
        <v>18570</v>
      </c>
      <c r="H75" s="73">
        <f t="shared" si="29"/>
        <v>37146</v>
      </c>
      <c r="I75" s="73">
        <f t="shared" si="29"/>
        <v>55875</v>
      </c>
      <c r="J75" s="73">
        <f t="shared" si="29"/>
        <v>74709</v>
      </c>
      <c r="K75" s="73">
        <f t="shared" si="29"/>
        <v>18602</v>
      </c>
      <c r="L75" s="73">
        <f t="shared" si="29"/>
        <v>37901</v>
      </c>
      <c r="M75" s="73">
        <f t="shared" si="29"/>
        <v>58307</v>
      </c>
      <c r="N75" s="73">
        <f t="shared" si="29"/>
        <v>78630</v>
      </c>
      <c r="O75" s="73">
        <f t="shared" si="29"/>
        <v>20662</v>
      </c>
      <c r="P75" s="73">
        <f t="shared" si="29"/>
        <v>41560</v>
      </c>
      <c r="Q75" s="73">
        <f t="shared" si="29"/>
        <v>63431</v>
      </c>
      <c r="R75" s="73">
        <f t="shared" si="29"/>
        <v>84484</v>
      </c>
      <c r="S75" s="73">
        <f t="shared" si="30"/>
        <v>19871</v>
      </c>
      <c r="T75" s="73">
        <f t="shared" si="30"/>
        <v>40297</v>
      </c>
      <c r="U75" s="73">
        <f t="shared" si="31"/>
        <v>63003</v>
      </c>
      <c r="V75" s="73">
        <f t="shared" si="31"/>
        <v>88447</v>
      </c>
      <c r="W75" s="73">
        <f t="shared" si="32"/>
        <v>24034</v>
      </c>
      <c r="X75" s="73">
        <f t="shared" si="32"/>
        <v>49194</v>
      </c>
      <c r="Y75" s="73">
        <f t="shared" si="33"/>
        <v>73349</v>
      </c>
      <c r="Z75" s="73">
        <f t="shared" si="33"/>
        <v>98795</v>
      </c>
      <c r="AA75" s="73">
        <f t="shared" si="34"/>
        <v>27959</v>
      </c>
    </row>
    <row r="76" spans="1:59">
      <c r="A76" s="109" t="s">
        <v>63</v>
      </c>
      <c r="B76" s="115" t="s">
        <v>151</v>
      </c>
      <c r="C76" s="73">
        <f t="shared" si="29"/>
        <v>12465</v>
      </c>
      <c r="D76" s="73">
        <f t="shared" si="29"/>
        <v>36070</v>
      </c>
      <c r="E76" s="73">
        <f t="shared" si="29"/>
        <v>60808</v>
      </c>
      <c r="F76" s="73">
        <f t="shared" si="29"/>
        <v>76166</v>
      </c>
      <c r="G76" s="73">
        <f t="shared" si="29"/>
        <v>27072</v>
      </c>
      <c r="H76" s="73">
        <f t="shared" si="29"/>
        <v>41028</v>
      </c>
      <c r="I76" s="73">
        <f t="shared" si="29"/>
        <v>62364</v>
      </c>
      <c r="J76" s="73">
        <f t="shared" si="29"/>
        <v>83397</v>
      </c>
      <c r="K76" s="73">
        <f t="shared" si="29"/>
        <v>11666</v>
      </c>
      <c r="L76" s="73">
        <f t="shared" si="29"/>
        <v>25700</v>
      </c>
      <c r="M76" s="73">
        <f t="shared" si="29"/>
        <v>45431</v>
      </c>
      <c r="N76" s="73">
        <f t="shared" si="29"/>
        <v>67452</v>
      </c>
      <c r="O76" s="73">
        <f t="shared" si="29"/>
        <v>24736</v>
      </c>
      <c r="P76" s="73">
        <f t="shared" si="29"/>
        <v>48903</v>
      </c>
      <c r="Q76" s="73">
        <f t="shared" si="29"/>
        <v>73523</v>
      </c>
      <c r="R76" s="73">
        <f t="shared" si="29"/>
        <v>98598</v>
      </c>
      <c r="S76" s="73">
        <f t="shared" si="30"/>
        <v>29978</v>
      </c>
      <c r="T76" s="73">
        <f t="shared" si="30"/>
        <v>53956</v>
      </c>
      <c r="U76" s="73">
        <f t="shared" si="31"/>
        <v>78599</v>
      </c>
      <c r="V76" s="73">
        <f t="shared" si="31"/>
        <v>102733</v>
      </c>
      <c r="W76" s="73">
        <f t="shared" si="32"/>
        <v>26699</v>
      </c>
      <c r="X76" s="73">
        <f t="shared" si="32"/>
        <v>62738</v>
      </c>
      <c r="Y76" s="73">
        <f t="shared" si="33"/>
        <v>98833</v>
      </c>
      <c r="Z76" s="73">
        <f t="shared" si="33"/>
        <v>138346</v>
      </c>
      <c r="AA76" s="73">
        <f t="shared" si="34"/>
        <v>57167</v>
      </c>
    </row>
    <row r="77" spans="1:59" ht="24">
      <c r="A77" s="109" t="s">
        <v>64</v>
      </c>
      <c r="B77" s="115" t="s">
        <v>152</v>
      </c>
      <c r="C77" s="73">
        <f t="shared" si="29"/>
        <v>21569</v>
      </c>
      <c r="D77" s="73">
        <f t="shared" si="29"/>
        <v>41838</v>
      </c>
      <c r="E77" s="73">
        <f t="shared" si="29"/>
        <v>63399</v>
      </c>
      <c r="F77" s="73">
        <f t="shared" si="29"/>
        <v>83788</v>
      </c>
      <c r="G77" s="73">
        <f t="shared" si="29"/>
        <v>22217</v>
      </c>
      <c r="H77" s="73">
        <f t="shared" si="29"/>
        <v>50609</v>
      </c>
      <c r="I77" s="73">
        <f t="shared" si="29"/>
        <v>72836</v>
      </c>
      <c r="J77" s="73">
        <f t="shared" si="29"/>
        <v>87383</v>
      </c>
      <c r="K77" s="73">
        <f t="shared" si="29"/>
        <v>14266</v>
      </c>
      <c r="L77" s="73">
        <f t="shared" si="29"/>
        <v>31298</v>
      </c>
      <c r="M77" s="73">
        <f t="shared" si="29"/>
        <v>52287</v>
      </c>
      <c r="N77" s="73">
        <f t="shared" si="29"/>
        <v>73615</v>
      </c>
      <c r="O77" s="73">
        <f t="shared" si="29"/>
        <v>23562</v>
      </c>
      <c r="P77" s="73">
        <f t="shared" si="29"/>
        <v>45776</v>
      </c>
      <c r="Q77" s="73">
        <f t="shared" si="29"/>
        <v>67378</v>
      </c>
      <c r="R77" s="73">
        <f t="shared" si="29"/>
        <v>89212</v>
      </c>
      <c r="S77" s="73">
        <f t="shared" si="30"/>
        <v>17636</v>
      </c>
      <c r="T77" s="73">
        <f t="shared" si="30"/>
        <v>36762</v>
      </c>
      <c r="U77" s="73">
        <f t="shared" si="31"/>
        <v>55387</v>
      </c>
      <c r="V77" s="73">
        <f t="shared" si="31"/>
        <v>68615</v>
      </c>
      <c r="W77" s="73">
        <f t="shared" si="32"/>
        <v>14894</v>
      </c>
      <c r="X77" s="73">
        <f t="shared" si="32"/>
        <v>30837</v>
      </c>
      <c r="Y77" s="73">
        <f t="shared" si="33"/>
        <v>46199</v>
      </c>
      <c r="Z77" s="73">
        <f t="shared" si="33"/>
        <v>60675</v>
      </c>
      <c r="AA77" s="73">
        <f t="shared" si="34"/>
        <v>14432</v>
      </c>
    </row>
    <row r="78" spans="1:59">
      <c r="A78" s="109" t="s">
        <v>65</v>
      </c>
      <c r="B78" s="115" t="s">
        <v>153</v>
      </c>
      <c r="C78" s="73">
        <f t="shared" si="29"/>
        <v>4765</v>
      </c>
      <c r="D78" s="73">
        <f t="shared" si="29"/>
        <v>8471</v>
      </c>
      <c r="E78" s="73">
        <f t="shared" si="29"/>
        <v>12134</v>
      </c>
      <c r="F78" s="73">
        <f t="shared" si="29"/>
        <v>16248</v>
      </c>
      <c r="G78" s="73">
        <f t="shared" si="29"/>
        <v>5756</v>
      </c>
      <c r="H78" s="73">
        <f t="shared" si="29"/>
        <v>9314</v>
      </c>
      <c r="I78" s="73">
        <f t="shared" si="29"/>
        <v>13062</v>
      </c>
      <c r="J78" s="73">
        <f t="shared" si="29"/>
        <v>17079</v>
      </c>
      <c r="K78" s="73">
        <f t="shared" si="29"/>
        <v>3573</v>
      </c>
      <c r="L78" s="73">
        <f t="shared" si="29"/>
        <v>7721</v>
      </c>
      <c r="M78" s="73">
        <f t="shared" si="29"/>
        <v>11960</v>
      </c>
      <c r="N78" s="73">
        <f t="shared" si="29"/>
        <v>16717</v>
      </c>
      <c r="O78" s="73">
        <f t="shared" si="29"/>
        <v>4793</v>
      </c>
      <c r="P78" s="73">
        <f t="shared" si="29"/>
        <v>8967</v>
      </c>
      <c r="Q78" s="73">
        <f t="shared" si="29"/>
        <v>13030</v>
      </c>
      <c r="R78" s="73">
        <f t="shared" si="29"/>
        <v>18239</v>
      </c>
      <c r="S78" s="73">
        <f t="shared" si="30"/>
        <v>3979</v>
      </c>
      <c r="T78" s="73">
        <f t="shared" si="30"/>
        <v>7957</v>
      </c>
      <c r="U78" s="73">
        <f t="shared" si="31"/>
        <v>11446</v>
      </c>
      <c r="V78" s="73">
        <f t="shared" si="31"/>
        <v>14649</v>
      </c>
      <c r="W78" s="73">
        <f t="shared" si="32"/>
        <v>2949</v>
      </c>
      <c r="X78" s="73">
        <f t="shared" si="32"/>
        <v>5578</v>
      </c>
      <c r="Y78" s="73">
        <f t="shared" si="33"/>
        <v>8271</v>
      </c>
      <c r="Z78" s="73">
        <f t="shared" si="33"/>
        <v>11099</v>
      </c>
      <c r="AA78" s="73">
        <f t="shared" si="34"/>
        <v>3637</v>
      </c>
    </row>
    <row r="79" spans="1:59" ht="24">
      <c r="A79" s="109" t="s">
        <v>66</v>
      </c>
      <c r="B79" s="115" t="s">
        <v>154</v>
      </c>
      <c r="C79" s="73">
        <f t="shared" si="29"/>
        <v>19992</v>
      </c>
      <c r="D79" s="73">
        <f t="shared" si="29"/>
        <v>39292</v>
      </c>
      <c r="E79" s="73">
        <f t="shared" si="29"/>
        <v>58777</v>
      </c>
      <c r="F79" s="73">
        <f t="shared" si="29"/>
        <v>77494</v>
      </c>
      <c r="G79" s="73">
        <f t="shared" si="29"/>
        <v>19025</v>
      </c>
      <c r="H79" s="73">
        <f t="shared" si="29"/>
        <v>39983</v>
      </c>
      <c r="I79" s="73">
        <f t="shared" si="29"/>
        <v>60144</v>
      </c>
      <c r="J79" s="73">
        <f t="shared" si="29"/>
        <v>79356</v>
      </c>
      <c r="K79" s="73">
        <f t="shared" si="29"/>
        <v>17434</v>
      </c>
      <c r="L79" s="73">
        <f t="shared" si="29"/>
        <v>34977</v>
      </c>
      <c r="M79" s="73">
        <f t="shared" si="29"/>
        <v>52807</v>
      </c>
      <c r="N79" s="73">
        <f t="shared" si="29"/>
        <v>71060</v>
      </c>
      <c r="O79" s="73">
        <f t="shared" si="29"/>
        <v>18792</v>
      </c>
      <c r="P79" s="73">
        <f t="shared" si="29"/>
        <v>39056</v>
      </c>
      <c r="Q79" s="73">
        <f t="shared" si="29"/>
        <v>60538</v>
      </c>
      <c r="R79" s="73">
        <f t="shared" si="29"/>
        <v>82332</v>
      </c>
      <c r="S79" s="73">
        <f t="shared" si="30"/>
        <v>21378</v>
      </c>
      <c r="T79" s="73">
        <f t="shared" si="30"/>
        <v>42453</v>
      </c>
      <c r="U79" s="73">
        <f t="shared" si="31"/>
        <v>61794</v>
      </c>
      <c r="V79" s="73">
        <f t="shared" si="31"/>
        <v>78595</v>
      </c>
      <c r="W79" s="73">
        <f t="shared" si="32"/>
        <v>16116</v>
      </c>
      <c r="X79" s="73">
        <f t="shared" si="32"/>
        <v>33079</v>
      </c>
      <c r="Y79" s="73">
        <f t="shared" si="33"/>
        <v>49067</v>
      </c>
      <c r="Z79" s="73">
        <f t="shared" si="33"/>
        <v>65357</v>
      </c>
      <c r="AA79" s="73">
        <f t="shared" si="34"/>
        <v>14497</v>
      </c>
    </row>
    <row r="80" spans="1:59" ht="12.5" thickBot="1">
      <c r="A80" s="109" t="s">
        <v>67</v>
      </c>
      <c r="B80" s="115" t="s">
        <v>155</v>
      </c>
      <c r="C80" s="73">
        <f t="shared" si="29"/>
        <v>2068</v>
      </c>
      <c r="D80" s="73">
        <f t="shared" si="29"/>
        <v>4292</v>
      </c>
      <c r="E80" s="73">
        <f t="shared" si="29"/>
        <v>6340</v>
      </c>
      <c r="F80" s="73">
        <f t="shared" si="29"/>
        <v>8122</v>
      </c>
      <c r="G80" s="73">
        <f t="shared" si="29"/>
        <v>2386</v>
      </c>
      <c r="H80" s="73">
        <f t="shared" si="29"/>
        <v>4712</v>
      </c>
      <c r="I80" s="73">
        <f t="shared" si="29"/>
        <v>6903</v>
      </c>
      <c r="J80" s="73">
        <f t="shared" si="29"/>
        <v>9372</v>
      </c>
      <c r="K80" s="73">
        <f t="shared" si="29"/>
        <v>2270</v>
      </c>
      <c r="L80" s="73">
        <f t="shared" si="29"/>
        <v>4300</v>
      </c>
      <c r="M80" s="73">
        <f t="shared" si="29"/>
        <v>6487</v>
      </c>
      <c r="N80" s="73">
        <f t="shared" si="29"/>
        <v>8786</v>
      </c>
      <c r="O80" s="73">
        <f t="shared" si="29"/>
        <v>2672</v>
      </c>
      <c r="P80" s="73">
        <f t="shared" si="29"/>
        <v>5302</v>
      </c>
      <c r="Q80" s="73">
        <f t="shared" si="29"/>
        <v>8050</v>
      </c>
      <c r="R80" s="73">
        <f t="shared" si="29"/>
        <v>11046</v>
      </c>
      <c r="S80" s="73">
        <f t="shared" si="30"/>
        <v>3667</v>
      </c>
      <c r="T80" s="73">
        <f t="shared" si="30"/>
        <v>6033</v>
      </c>
      <c r="U80" s="73">
        <f t="shared" si="31"/>
        <v>7703</v>
      </c>
      <c r="V80" s="73">
        <f t="shared" si="31"/>
        <v>9775</v>
      </c>
      <c r="W80" s="73">
        <f t="shared" si="32"/>
        <v>3520</v>
      </c>
      <c r="X80" s="73">
        <f t="shared" si="32"/>
        <v>5678</v>
      </c>
      <c r="Y80" s="73">
        <f t="shared" si="33"/>
        <v>7433</v>
      </c>
      <c r="Z80" s="73">
        <f t="shared" si="33"/>
        <v>6544</v>
      </c>
      <c r="AA80" s="73">
        <f t="shared" si="34"/>
        <v>2881</v>
      </c>
    </row>
    <row r="81" spans="1:27" ht="12.5" thickBot="1">
      <c r="A81" s="110" t="s">
        <v>68</v>
      </c>
      <c r="B81" s="116" t="s">
        <v>156</v>
      </c>
      <c r="C81" s="2">
        <f t="shared" si="29"/>
        <v>155495</v>
      </c>
      <c r="D81" s="2">
        <f t="shared" si="29"/>
        <v>318584</v>
      </c>
      <c r="E81" s="2">
        <f t="shared" si="29"/>
        <v>469474</v>
      </c>
      <c r="F81" s="2">
        <f t="shared" si="29"/>
        <v>611673</v>
      </c>
      <c r="G81" s="2">
        <f t="shared" si="29"/>
        <v>156750</v>
      </c>
      <c r="H81" s="2">
        <f t="shared" si="29"/>
        <v>304139</v>
      </c>
      <c r="I81" s="2">
        <f t="shared" si="29"/>
        <v>455726</v>
      </c>
      <c r="J81" s="2">
        <f t="shared" si="29"/>
        <v>596173</v>
      </c>
      <c r="K81" s="2">
        <f t="shared" si="29"/>
        <v>134352</v>
      </c>
      <c r="L81" s="2">
        <f>L55+L68</f>
        <v>274136</v>
      </c>
      <c r="M81" s="2">
        <f t="shared" si="29"/>
        <v>424328</v>
      </c>
      <c r="N81" s="2">
        <f t="shared" si="29"/>
        <v>581024</v>
      </c>
      <c r="O81" s="2">
        <f t="shared" si="29"/>
        <v>166117</v>
      </c>
      <c r="P81" s="2">
        <f t="shared" si="29"/>
        <v>328635</v>
      </c>
      <c r="Q81" s="2">
        <f t="shared" si="29"/>
        <v>494173</v>
      </c>
      <c r="R81" s="2">
        <f t="shared" si="29"/>
        <v>663553</v>
      </c>
      <c r="S81" s="2">
        <f t="shared" si="30"/>
        <v>172504</v>
      </c>
      <c r="T81" s="2">
        <f t="shared" ref="T81:Y81" si="35">SUM(T71:T80)</f>
        <v>336587</v>
      </c>
      <c r="U81" s="2">
        <f t="shared" si="35"/>
        <v>499500</v>
      </c>
      <c r="V81" s="2">
        <f t="shared" si="35"/>
        <v>661069</v>
      </c>
      <c r="W81" s="2">
        <f t="shared" si="35"/>
        <v>163174</v>
      </c>
      <c r="X81" s="2">
        <f t="shared" si="35"/>
        <v>338199</v>
      </c>
      <c r="Y81" s="2">
        <f t="shared" si="35"/>
        <v>516506</v>
      </c>
      <c r="Z81" s="2">
        <f>SUM(Z71:Z80)</f>
        <v>699153</v>
      </c>
      <c r="AA81" s="2">
        <f>SUM(AA71:AA80)</f>
        <v>194533</v>
      </c>
    </row>
  </sheetData>
  <pageMargins left="0.23622047244094491" right="0.23622047244094491" top="0.74803149606299213" bottom="0.74803149606299213" header="0.31496062992125984" footer="0.31496062992125984"/>
  <pageSetup paperSize="9" scale="72"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G49"/>
  <sheetViews>
    <sheetView zoomScale="90" zoomScaleNormal="90" workbookViewId="0">
      <pane xSplit="2" ySplit="3" topLeftCell="X4" activePane="bottomRight" state="frozenSplit"/>
      <selection pane="topRight" activeCell="C1" sqref="C1"/>
      <selection pane="bottomLeft" activeCell="A4" sqref="A4"/>
      <selection pane="bottomRight" activeCell="A2" sqref="A2"/>
    </sheetView>
  </sheetViews>
  <sheetFormatPr defaultColWidth="8.75" defaultRowHeight="12" outlineLevelCol="1"/>
  <cols>
    <col min="1" max="1" width="37.9140625" style="69" customWidth="1"/>
    <col min="2" max="2" width="39.75" style="69" customWidth="1"/>
    <col min="3" max="6" width="12.25" style="1" hidden="1" customWidth="1" outlineLevel="1"/>
    <col min="7" max="9" width="10.9140625" style="1" hidden="1" customWidth="1" outlineLevel="1"/>
    <col min="10" max="10" width="11.75" style="1" hidden="1" customWidth="1" outlineLevel="1"/>
    <col min="11" max="11" width="12.08203125" style="1" hidden="1" customWidth="1" outlineLevel="1" collapsed="1"/>
    <col min="12" max="18" width="12.08203125" style="1" hidden="1" customWidth="1" outlineLevel="1"/>
    <col min="19" max="19" width="12" style="1" customWidth="1" collapsed="1"/>
    <col min="20" max="27" width="12" style="1" customWidth="1"/>
    <col min="28" max="28" width="4.75" style="1" customWidth="1"/>
    <col min="29" max="29" width="40.75" style="1" customWidth="1"/>
    <col min="30" max="34" width="11.08203125" style="1" customWidth="1"/>
    <col min="35" max="37" width="12" style="1" customWidth="1"/>
    <col min="38" max="38" width="12.25" style="1" customWidth="1" collapsed="1"/>
    <col min="39" max="39" width="12.25" style="1" customWidth="1"/>
    <col min="40" max="40" width="12.25" style="1" customWidth="1" collapsed="1"/>
    <col min="41" max="45" width="12.25" style="1" customWidth="1"/>
    <col min="46" max="46" width="11" style="1" customWidth="1"/>
    <col min="47" max="47" width="10.4140625" style="1" customWidth="1"/>
    <col min="48" max="48" width="10.6640625" style="1" customWidth="1"/>
    <col min="49" max="53" width="11" style="1" customWidth="1"/>
    <col min="54" max="54" width="7.25" style="1" customWidth="1"/>
    <col min="55" max="55" width="6.75" style="1" customWidth="1"/>
    <col min="56" max="56" width="9.08203125" style="1" customWidth="1"/>
    <col min="57" max="57" width="10.6640625" style="1" customWidth="1"/>
    <col min="58" max="16384" width="8.75" style="1"/>
  </cols>
  <sheetData>
    <row r="1" spans="1:54" ht="15.5">
      <c r="A1" s="112" t="s">
        <v>496</v>
      </c>
      <c r="B1" s="54"/>
      <c r="C1" s="28"/>
      <c r="D1" s="28"/>
      <c r="E1" s="28"/>
      <c r="F1" s="28"/>
      <c r="G1" s="28"/>
      <c r="H1" s="28"/>
      <c r="I1" s="28"/>
      <c r="J1" s="28"/>
      <c r="K1" s="28"/>
      <c r="L1" s="28"/>
      <c r="M1" s="28"/>
      <c r="N1" s="28"/>
      <c r="O1" s="28"/>
      <c r="P1" s="28"/>
      <c r="Q1" s="28"/>
      <c r="R1" s="28"/>
      <c r="S1" s="28"/>
      <c r="T1" s="28"/>
      <c r="U1" s="28"/>
      <c r="V1" s="28"/>
      <c r="W1" s="28"/>
      <c r="X1" s="28"/>
      <c r="Y1" s="28"/>
      <c r="Z1" s="28"/>
      <c r="AA1" s="28"/>
      <c r="AB1" s="28"/>
      <c r="AC1" s="28"/>
      <c r="AD1" s="28"/>
      <c r="AG1" s="28"/>
      <c r="AH1" s="28"/>
      <c r="AI1" s="28"/>
      <c r="AJ1" s="28"/>
    </row>
    <row r="2" spans="1:54" ht="15.5">
      <c r="A2" s="112" t="s">
        <v>497</v>
      </c>
      <c r="B2" s="54"/>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G2" s="28"/>
      <c r="AH2" s="28"/>
      <c r="AI2" s="28"/>
      <c r="AJ2" s="28"/>
    </row>
    <row r="3" spans="1:54" ht="24.5" thickBot="1">
      <c r="A3" s="187" t="s">
        <v>520</v>
      </c>
      <c r="B3" s="187" t="s">
        <v>172</v>
      </c>
      <c r="C3" s="205" t="s">
        <v>189</v>
      </c>
      <c r="D3" s="205" t="s">
        <v>191</v>
      </c>
      <c r="E3" s="205" t="s">
        <v>197</v>
      </c>
      <c r="F3" s="205" t="s">
        <v>215</v>
      </c>
      <c r="G3" s="205" t="s">
        <v>219</v>
      </c>
      <c r="H3" s="205" t="s">
        <v>237</v>
      </c>
      <c r="I3" s="205" t="s">
        <v>240</v>
      </c>
      <c r="J3" s="205" t="s">
        <v>243</v>
      </c>
      <c r="K3" s="205" t="s">
        <v>245</v>
      </c>
      <c r="L3" s="205" t="s">
        <v>253</v>
      </c>
      <c r="M3" s="205" t="s">
        <v>256</v>
      </c>
      <c r="N3" s="205" t="s">
        <v>260</v>
      </c>
      <c r="O3" s="205" t="s">
        <v>262</v>
      </c>
      <c r="P3" s="205" t="s">
        <v>273</v>
      </c>
      <c r="Q3" s="205" t="s">
        <v>276</v>
      </c>
      <c r="R3" s="205" t="s">
        <v>283</v>
      </c>
      <c r="S3" s="205" t="s">
        <v>285</v>
      </c>
      <c r="T3" s="205" t="s">
        <v>366</v>
      </c>
      <c r="U3" s="205" t="s">
        <v>414</v>
      </c>
      <c r="V3" s="205" t="s">
        <v>419</v>
      </c>
      <c r="W3" s="205" t="s">
        <v>422</v>
      </c>
      <c r="X3" s="205" t="s">
        <v>432</v>
      </c>
      <c r="Y3" s="205" t="s">
        <v>436</v>
      </c>
      <c r="Z3" s="205" t="s">
        <v>445</v>
      </c>
      <c r="AA3" s="205" t="s">
        <v>527</v>
      </c>
      <c r="AB3" s="28"/>
      <c r="AC3" s="28"/>
      <c r="AD3" s="28"/>
      <c r="AE3" s="28"/>
      <c r="AH3" s="28"/>
      <c r="AI3" s="28"/>
      <c r="AJ3" s="28"/>
      <c r="AK3" s="28"/>
    </row>
    <row r="4" spans="1:54" ht="12.5" thickBot="1">
      <c r="A4" s="118" t="s">
        <v>90</v>
      </c>
      <c r="B4" s="118" t="s">
        <v>158</v>
      </c>
      <c r="C4" s="11">
        <v>-135106</v>
      </c>
      <c r="D4" s="11">
        <v>-134915</v>
      </c>
      <c r="E4" s="11">
        <v>-139628</v>
      </c>
      <c r="F4" s="11">
        <v>-137365</v>
      </c>
      <c r="G4" s="11">
        <v>-138255</v>
      </c>
      <c r="H4" s="11">
        <v>-136908</v>
      </c>
      <c r="I4" s="11">
        <v>-135899</v>
      </c>
      <c r="J4" s="11">
        <v>-135843</v>
      </c>
      <c r="K4" s="11">
        <v>-138836</v>
      </c>
      <c r="L4" s="11">
        <v>-139078</v>
      </c>
      <c r="M4" s="11">
        <v>-139323</v>
      </c>
      <c r="N4" s="11">
        <v>-141521</v>
      </c>
      <c r="O4" s="11">
        <f>+O25</f>
        <v>-145054</v>
      </c>
      <c r="P4" s="11">
        <f>+P25-O25</f>
        <v>-149900</v>
      </c>
      <c r="Q4" s="11">
        <f>+Q25-P25</f>
        <v>-149012</v>
      </c>
      <c r="R4" s="11">
        <f>+R25-Q25</f>
        <v>-152572</v>
      </c>
      <c r="S4" s="11">
        <f>+S25</f>
        <v>-157699</v>
      </c>
      <c r="T4" s="11">
        <f>+T25-S25</f>
        <v>-158521</v>
      </c>
      <c r="U4" s="11">
        <f>+U25-T25</f>
        <v>-160967</v>
      </c>
      <c r="V4" s="11">
        <f>+V25-U25</f>
        <v>-160908</v>
      </c>
      <c r="W4" s="11">
        <f>+W25</f>
        <v>-172555</v>
      </c>
      <c r="X4" s="11">
        <f t="shared" ref="X4:X17" si="0">+X25-W4</f>
        <v>-199661</v>
      </c>
      <c r="Y4" s="11">
        <f>+Y25-X25</f>
        <v>-231590</v>
      </c>
      <c r="Z4" s="11">
        <f>+Z25-Y25</f>
        <v>-232583</v>
      </c>
      <c r="AA4" s="11">
        <f>+AA25</f>
        <v>-243752</v>
      </c>
      <c r="AB4" s="157"/>
      <c r="AC4" s="157"/>
      <c r="AD4" s="157"/>
      <c r="AE4" s="28"/>
      <c r="AH4" s="28"/>
      <c r="AI4" s="28"/>
      <c r="AJ4" s="28"/>
      <c r="AK4" s="28"/>
    </row>
    <row r="5" spans="1:54" ht="12.5" thickBot="1">
      <c r="A5" s="118" t="s">
        <v>80</v>
      </c>
      <c r="B5" s="118" t="s">
        <v>173</v>
      </c>
      <c r="C5" s="11">
        <v>-126055</v>
      </c>
      <c r="D5" s="11">
        <v>-131478</v>
      </c>
      <c r="E5" s="11">
        <v>-125305</v>
      </c>
      <c r="F5" s="11">
        <v>-126201</v>
      </c>
      <c r="G5" s="11">
        <v>-124259</v>
      </c>
      <c r="H5" s="11">
        <v>-121808</v>
      </c>
      <c r="I5" s="11">
        <v>-117500</v>
      </c>
      <c r="J5" s="11">
        <v>-126142</v>
      </c>
      <c r="K5" s="11">
        <v>-119524</v>
      </c>
      <c r="L5" s="11">
        <v>-127003</v>
      </c>
      <c r="M5" s="11">
        <v>-125453</v>
      </c>
      <c r="N5" s="11">
        <v>-126728</v>
      </c>
      <c r="O5" s="11">
        <f t="shared" ref="O5:T5" si="1">SUM(O6:O17)</f>
        <v>-156277</v>
      </c>
      <c r="P5" s="11">
        <f t="shared" si="1"/>
        <v>-129578</v>
      </c>
      <c r="Q5" s="11">
        <f t="shared" si="1"/>
        <v>-128507.80699000001</v>
      </c>
      <c r="R5" s="11">
        <f>SUM(R6:R17)</f>
        <v>-138822</v>
      </c>
      <c r="S5" s="11">
        <f t="shared" si="1"/>
        <v>-159123</v>
      </c>
      <c r="T5" s="11">
        <f t="shared" si="1"/>
        <v>-130260</v>
      </c>
      <c r="U5" s="11">
        <f>SUM(U6:U17)</f>
        <v>-141803</v>
      </c>
      <c r="V5" s="11">
        <f>SUM(V6:V17)</f>
        <v>-144484</v>
      </c>
      <c r="W5" s="11">
        <f>SUM(W6:W17)</f>
        <v>-178501</v>
      </c>
      <c r="X5" s="11">
        <f t="shared" si="0"/>
        <v>-132271</v>
      </c>
      <c r="Y5" s="11">
        <f>SUM(Y6:Y17)</f>
        <v>-194858</v>
      </c>
      <c r="Z5" s="11">
        <f>SUM(Z6:Z17)</f>
        <v>-203164</v>
      </c>
      <c r="AA5" s="11">
        <f>SUM(AA6:AA17)</f>
        <v>-220814</v>
      </c>
      <c r="AB5" s="158"/>
      <c r="AC5" s="157"/>
      <c r="AD5" s="157"/>
      <c r="AE5" s="28"/>
      <c r="AH5" s="28"/>
      <c r="AI5" s="28"/>
      <c r="AJ5" s="28"/>
      <c r="AK5" s="28"/>
    </row>
    <row r="6" spans="1:54" ht="12.5" thickBot="1">
      <c r="A6" s="118" t="s">
        <v>70</v>
      </c>
      <c r="B6" s="118" t="s">
        <v>159</v>
      </c>
      <c r="C6" s="11">
        <v>-15451</v>
      </c>
      <c r="D6" s="11">
        <v>-18967</v>
      </c>
      <c r="E6" s="11">
        <v>-14081</v>
      </c>
      <c r="F6" s="11">
        <v>-15194</v>
      </c>
      <c r="G6" s="11">
        <v>-15614</v>
      </c>
      <c r="H6" s="11">
        <v>-9533</v>
      </c>
      <c r="I6" s="11">
        <v>-7873</v>
      </c>
      <c r="J6" s="11">
        <v>-11396</v>
      </c>
      <c r="K6" s="11">
        <v>-8328</v>
      </c>
      <c r="L6" s="11">
        <v>-12703</v>
      </c>
      <c r="M6" s="11">
        <v>-13270</v>
      </c>
      <c r="N6" s="11">
        <v>-9961</v>
      </c>
      <c r="O6" s="11">
        <f t="shared" ref="O6:O17" si="2">+O27</f>
        <v>-6089</v>
      </c>
      <c r="P6" s="12">
        <f t="shared" ref="P6:R17" si="3">+P27-O27</f>
        <v>-15110</v>
      </c>
      <c r="Q6" s="12">
        <f t="shared" si="3"/>
        <v>-14870</v>
      </c>
      <c r="R6" s="12">
        <f t="shared" si="3"/>
        <v>-17894</v>
      </c>
      <c r="S6" s="12">
        <f t="shared" ref="S6:S17" si="4">+S27</f>
        <v>-7583</v>
      </c>
      <c r="T6" s="12">
        <f t="shared" ref="T6:V17" si="5">+T27-S27</f>
        <v>-16374</v>
      </c>
      <c r="U6" s="12">
        <f t="shared" si="5"/>
        <v>-14432</v>
      </c>
      <c r="V6" s="12">
        <f t="shared" si="5"/>
        <v>-19667</v>
      </c>
      <c r="W6" s="12">
        <f t="shared" ref="W6:W17" si="6">+W27</f>
        <v>-6795</v>
      </c>
      <c r="X6" s="12">
        <f t="shared" si="0"/>
        <v>-20093</v>
      </c>
      <c r="Y6" s="12">
        <f t="shared" ref="Y6:Z17" si="7">+Y27-X27</f>
        <v>-24835</v>
      </c>
      <c r="Z6" s="12">
        <f t="shared" si="7"/>
        <v>-29101</v>
      </c>
      <c r="AA6" s="12">
        <f t="shared" ref="AA6:AA17" si="8">+AA27</f>
        <v>-14101</v>
      </c>
      <c r="AB6" s="159"/>
      <c r="AC6" s="157"/>
      <c r="AD6" s="157"/>
      <c r="AE6" s="28"/>
      <c r="AH6" s="28"/>
      <c r="AI6" s="28"/>
      <c r="AJ6" s="28"/>
      <c r="AK6" s="28"/>
      <c r="AT6" s="28"/>
      <c r="AU6" s="28"/>
      <c r="AV6" s="28"/>
      <c r="AW6" s="28"/>
      <c r="AX6" s="28"/>
      <c r="AY6" s="28"/>
      <c r="AZ6" s="28"/>
      <c r="BA6" s="28"/>
      <c r="BB6" s="28"/>
    </row>
    <row r="7" spans="1:54" ht="12.5" thickBot="1">
      <c r="A7" s="118" t="s">
        <v>195</v>
      </c>
      <c r="B7" s="118" t="s">
        <v>194</v>
      </c>
      <c r="C7" s="11">
        <v>-18264.336810000001</v>
      </c>
      <c r="D7" s="11">
        <v>-17802.765090000001</v>
      </c>
      <c r="E7" s="11">
        <v>-17875.898099999999</v>
      </c>
      <c r="F7" s="11">
        <v>-16544</v>
      </c>
      <c r="G7" s="11">
        <v>-17403</v>
      </c>
      <c r="H7" s="11">
        <v>-17320</v>
      </c>
      <c r="I7" s="11">
        <v>-17670</v>
      </c>
      <c r="J7" s="11">
        <v>-17367</v>
      </c>
      <c r="K7" s="11">
        <v>-18217</v>
      </c>
      <c r="L7" s="11">
        <v>-18114</v>
      </c>
      <c r="M7" s="11">
        <v>-19002</v>
      </c>
      <c r="N7" s="11">
        <v>-19780</v>
      </c>
      <c r="O7" s="11">
        <f t="shared" si="2"/>
        <v>-18972</v>
      </c>
      <c r="P7" s="12">
        <f t="shared" si="3"/>
        <v>-19243</v>
      </c>
      <c r="Q7" s="12">
        <f t="shared" si="3"/>
        <v>-19583</v>
      </c>
      <c r="R7" s="12">
        <f t="shared" si="3"/>
        <v>-20252</v>
      </c>
      <c r="S7" s="12">
        <f t="shared" si="4"/>
        <v>-20701</v>
      </c>
      <c r="T7" s="12">
        <f t="shared" si="5"/>
        <v>-22862</v>
      </c>
      <c r="U7" s="12">
        <f t="shared" si="5"/>
        <v>-22435</v>
      </c>
      <c r="V7" s="12">
        <f t="shared" si="5"/>
        <v>-23579</v>
      </c>
      <c r="W7" s="12">
        <f t="shared" si="6"/>
        <v>-24258</v>
      </c>
      <c r="X7" s="12">
        <f t="shared" si="0"/>
        <v>-35617</v>
      </c>
      <c r="Y7" s="12">
        <f t="shared" si="7"/>
        <v>-48318</v>
      </c>
      <c r="Z7" s="12">
        <f t="shared" si="7"/>
        <v>-54012</v>
      </c>
      <c r="AA7" s="12">
        <f t="shared" si="8"/>
        <v>-34854</v>
      </c>
      <c r="AB7" s="159"/>
      <c r="AC7" s="157"/>
      <c r="AD7" s="157"/>
      <c r="AE7" s="28"/>
      <c r="AH7" s="28"/>
      <c r="AI7" s="28"/>
      <c r="AJ7" s="28"/>
      <c r="AK7" s="28"/>
      <c r="AT7" s="28"/>
      <c r="AU7" s="28"/>
      <c r="AV7" s="28"/>
      <c r="AW7" s="28"/>
      <c r="AX7" s="28"/>
      <c r="AY7" s="28"/>
      <c r="AZ7" s="28"/>
      <c r="BA7" s="28"/>
      <c r="BB7" s="28"/>
    </row>
    <row r="8" spans="1:54" ht="12.5" thickBot="1">
      <c r="A8" s="118" t="s">
        <v>71</v>
      </c>
      <c r="B8" s="118" t="s">
        <v>160</v>
      </c>
      <c r="C8" s="11">
        <v>-45428</v>
      </c>
      <c r="D8" s="11">
        <v>-44579</v>
      </c>
      <c r="E8" s="11">
        <v>-44051</v>
      </c>
      <c r="F8" s="11">
        <v>-47705</v>
      </c>
      <c r="G8" s="11">
        <v>-43655</v>
      </c>
      <c r="H8" s="11">
        <v>-42936</v>
      </c>
      <c r="I8" s="11">
        <v>-43124</v>
      </c>
      <c r="J8" s="11">
        <v>-44710</v>
      </c>
      <c r="K8" s="11">
        <v>-44493</v>
      </c>
      <c r="L8" s="11">
        <v>-46431</v>
      </c>
      <c r="M8" s="11">
        <v>-41335</v>
      </c>
      <c r="N8" s="11">
        <v>-42630</v>
      </c>
      <c r="O8" s="11">
        <f t="shared" si="2"/>
        <v>-40960</v>
      </c>
      <c r="P8" s="12">
        <f t="shared" si="3"/>
        <v>-37763</v>
      </c>
      <c r="Q8" s="12">
        <f t="shared" si="3"/>
        <v>-39714</v>
      </c>
      <c r="R8" s="12">
        <f t="shared" si="3"/>
        <v>-38932</v>
      </c>
      <c r="S8" s="12">
        <f t="shared" si="4"/>
        <v>-36375</v>
      </c>
      <c r="T8" s="12">
        <f t="shared" si="5"/>
        <v>-37141</v>
      </c>
      <c r="U8" s="12">
        <f t="shared" si="5"/>
        <v>-36086</v>
      </c>
      <c r="V8" s="12">
        <f t="shared" si="5"/>
        <v>-36089</v>
      </c>
      <c r="W8" s="12">
        <f t="shared" si="6"/>
        <v>-18386</v>
      </c>
      <c r="X8" s="12">
        <f t="shared" si="0"/>
        <v>-18493</v>
      </c>
      <c r="Y8" s="12">
        <f t="shared" si="7"/>
        <v>-18609</v>
      </c>
      <c r="Z8" s="12">
        <f t="shared" si="7"/>
        <v>-15048</v>
      </c>
      <c r="AA8" s="12">
        <f t="shared" si="8"/>
        <v>-21081</v>
      </c>
      <c r="AB8" s="159"/>
      <c r="AC8" s="157"/>
      <c r="AD8" s="157"/>
      <c r="AE8" s="28"/>
      <c r="AH8" s="28"/>
      <c r="AI8" s="28"/>
      <c r="AJ8" s="28"/>
      <c r="AK8" s="28"/>
      <c r="AT8" s="28"/>
      <c r="AU8" s="28"/>
      <c r="AV8" s="28"/>
      <c r="AW8" s="28"/>
      <c r="AX8" s="28"/>
      <c r="AY8" s="28"/>
      <c r="AZ8" s="28"/>
      <c r="BA8" s="28"/>
      <c r="BB8" s="28"/>
    </row>
    <row r="9" spans="1:54" ht="24.5" thickBot="1">
      <c r="A9" s="118" t="s">
        <v>72</v>
      </c>
      <c r="B9" s="118" t="s">
        <v>161</v>
      </c>
      <c r="C9" s="11">
        <v>-6054</v>
      </c>
      <c r="D9" s="11">
        <v>-6654</v>
      </c>
      <c r="E9" s="11">
        <v>-6394</v>
      </c>
      <c r="F9" s="11">
        <v>-6247</v>
      </c>
      <c r="G9" s="11">
        <v>-6703</v>
      </c>
      <c r="H9" s="11">
        <v>-6944</v>
      </c>
      <c r="I9" s="11">
        <v>-6576</v>
      </c>
      <c r="J9" s="11">
        <v>-6691</v>
      </c>
      <c r="K9" s="11">
        <v>-6477</v>
      </c>
      <c r="L9" s="11">
        <v>-6518</v>
      </c>
      <c r="M9" s="11">
        <v>-6729</v>
      </c>
      <c r="N9" s="11">
        <v>-5949</v>
      </c>
      <c r="O9" s="11">
        <f t="shared" si="2"/>
        <v>-6213</v>
      </c>
      <c r="P9" s="12">
        <f t="shared" si="3"/>
        <v>-6525</v>
      </c>
      <c r="Q9" s="12">
        <f t="shared" si="3"/>
        <v>-6380</v>
      </c>
      <c r="R9" s="12">
        <f t="shared" si="3"/>
        <v>-6682</v>
      </c>
      <c r="S9" s="12">
        <f t="shared" si="4"/>
        <v>-6590</v>
      </c>
      <c r="T9" s="12">
        <f t="shared" si="5"/>
        <v>-6677</v>
      </c>
      <c r="U9" s="12">
        <f t="shared" si="5"/>
        <v>-6924</v>
      </c>
      <c r="V9" s="12">
        <f t="shared" si="5"/>
        <v>-7817</v>
      </c>
      <c r="W9" s="12">
        <f t="shared" si="6"/>
        <v>-8627</v>
      </c>
      <c r="X9" s="12">
        <f t="shared" si="0"/>
        <v>-10122</v>
      </c>
      <c r="Y9" s="12">
        <f t="shared" si="7"/>
        <v>-11510</v>
      </c>
      <c r="Z9" s="12">
        <f t="shared" si="7"/>
        <v>-14914</v>
      </c>
      <c r="AA9" s="12">
        <f t="shared" si="8"/>
        <v>-13846</v>
      </c>
      <c r="AB9" s="159"/>
      <c r="AC9" s="157"/>
      <c r="AD9" s="157"/>
      <c r="AE9" s="28"/>
      <c r="AH9" s="28"/>
      <c r="AI9" s="28"/>
      <c r="AJ9" s="28"/>
      <c r="AK9" s="28"/>
      <c r="AT9" s="28"/>
      <c r="AU9" s="28"/>
      <c r="AV9" s="28"/>
      <c r="AW9" s="28"/>
      <c r="AX9" s="28"/>
      <c r="AY9" s="28"/>
      <c r="AZ9" s="28"/>
      <c r="BA9" s="28"/>
      <c r="BB9" s="28"/>
    </row>
    <row r="10" spans="1:54" ht="12.5" thickBot="1">
      <c r="A10" s="118" t="s">
        <v>73</v>
      </c>
      <c r="B10" s="118" t="s">
        <v>162</v>
      </c>
      <c r="C10" s="11">
        <v>-4003</v>
      </c>
      <c r="D10" s="11">
        <v>-4328</v>
      </c>
      <c r="E10" s="11">
        <v>-4210</v>
      </c>
      <c r="F10" s="11">
        <v>-4127</v>
      </c>
      <c r="G10" s="11">
        <v>-4070</v>
      </c>
      <c r="H10" s="11">
        <v>-4022</v>
      </c>
      <c r="I10" s="11">
        <v>-4350</v>
      </c>
      <c r="J10" s="11">
        <v>-4059</v>
      </c>
      <c r="K10" s="11">
        <v>-4022</v>
      </c>
      <c r="L10" s="11">
        <v>-4220</v>
      </c>
      <c r="M10" s="11">
        <v>-4286</v>
      </c>
      <c r="N10" s="11">
        <v>-3983</v>
      </c>
      <c r="O10" s="11">
        <f t="shared" si="2"/>
        <v>-4360</v>
      </c>
      <c r="P10" s="12">
        <f t="shared" si="3"/>
        <v>-4185</v>
      </c>
      <c r="Q10" s="12">
        <f t="shared" si="3"/>
        <v>-4465</v>
      </c>
      <c r="R10" s="12">
        <f t="shared" si="3"/>
        <v>-4541</v>
      </c>
      <c r="S10" s="12">
        <f t="shared" si="4"/>
        <v>-4652</v>
      </c>
      <c r="T10" s="12">
        <f t="shared" si="5"/>
        <v>-4839</v>
      </c>
      <c r="U10" s="12">
        <f t="shared" si="5"/>
        <v>-4935</v>
      </c>
      <c r="V10" s="12">
        <f t="shared" si="5"/>
        <v>-5236</v>
      </c>
      <c r="W10" s="12">
        <f t="shared" si="6"/>
        <v>-4957</v>
      </c>
      <c r="X10" s="12">
        <f t="shared" si="0"/>
        <v>-5347</v>
      </c>
      <c r="Y10" s="12">
        <f t="shared" si="7"/>
        <v>-5185</v>
      </c>
      <c r="Z10" s="12">
        <f t="shared" si="7"/>
        <v>-5738</v>
      </c>
      <c r="AA10" s="12">
        <f t="shared" si="8"/>
        <v>-7541</v>
      </c>
      <c r="AB10" s="159"/>
      <c r="AC10" s="157"/>
      <c r="AD10" s="157"/>
      <c r="AE10" s="28"/>
      <c r="AH10" s="28"/>
      <c r="AI10" s="28"/>
      <c r="AJ10" s="28"/>
      <c r="AK10" s="28"/>
      <c r="AT10" s="28"/>
      <c r="AV10" s="28"/>
      <c r="AW10" s="28"/>
      <c r="AX10" s="28"/>
      <c r="AY10" s="28"/>
      <c r="AZ10" s="28"/>
      <c r="BA10" s="28"/>
      <c r="BB10" s="28"/>
    </row>
    <row r="11" spans="1:54" ht="24.5" thickBot="1">
      <c r="A11" s="118" t="s">
        <v>74</v>
      </c>
      <c r="B11" s="118" t="s">
        <v>163</v>
      </c>
      <c r="C11" s="11">
        <v>-6232</v>
      </c>
      <c r="D11" s="11">
        <v>-5425</v>
      </c>
      <c r="E11" s="11">
        <v>-10031</v>
      </c>
      <c r="F11" s="11">
        <v>-2349</v>
      </c>
      <c r="G11" s="11">
        <v>-1804</v>
      </c>
      <c r="H11" s="11">
        <v>-3291</v>
      </c>
      <c r="I11" s="11">
        <v>-3581</v>
      </c>
      <c r="J11" s="11">
        <v>-3245</v>
      </c>
      <c r="K11" s="11">
        <v>-3751</v>
      </c>
      <c r="L11" s="11">
        <v>-4742</v>
      </c>
      <c r="M11" s="11">
        <v>-7097</v>
      </c>
      <c r="N11" s="11">
        <v>-6401</v>
      </c>
      <c r="O11" s="11">
        <f t="shared" si="2"/>
        <v>-5139</v>
      </c>
      <c r="P11" s="12">
        <f t="shared" si="3"/>
        <v>-7658</v>
      </c>
      <c r="Q11" s="12">
        <f t="shared" si="3"/>
        <v>-9701</v>
      </c>
      <c r="R11" s="12">
        <f t="shared" si="3"/>
        <v>-12691</v>
      </c>
      <c r="S11" s="12">
        <f t="shared" si="4"/>
        <v>-4641</v>
      </c>
      <c r="T11" s="12">
        <f t="shared" si="5"/>
        <v>-8810</v>
      </c>
      <c r="U11" s="12">
        <f t="shared" si="5"/>
        <v>-10538</v>
      </c>
      <c r="V11" s="12">
        <f t="shared" si="5"/>
        <v>-4863</v>
      </c>
      <c r="W11" s="12">
        <f t="shared" si="6"/>
        <v>-5719</v>
      </c>
      <c r="X11" s="12">
        <f t="shared" si="0"/>
        <v>-14043</v>
      </c>
      <c r="Y11" s="12">
        <f t="shared" si="7"/>
        <v>-29301</v>
      </c>
      <c r="Z11" s="12">
        <f t="shared" si="7"/>
        <v>-22444</v>
      </c>
      <c r="AA11" s="12">
        <f t="shared" si="8"/>
        <v>-5583</v>
      </c>
      <c r="AB11" s="159"/>
      <c r="AC11" s="157"/>
      <c r="AD11" s="157"/>
      <c r="AE11" s="28"/>
      <c r="AH11" s="28"/>
      <c r="AI11" s="28"/>
      <c r="AJ11" s="28"/>
      <c r="AK11" s="28"/>
    </row>
    <row r="12" spans="1:54" ht="12.5" thickBot="1">
      <c r="A12" s="118" t="s">
        <v>75</v>
      </c>
      <c r="B12" s="118" t="s">
        <v>164</v>
      </c>
      <c r="C12" s="11">
        <v>-4076</v>
      </c>
      <c r="D12" s="11">
        <v>-4158</v>
      </c>
      <c r="E12" s="11">
        <v>-4447</v>
      </c>
      <c r="F12" s="11">
        <v>-5337</v>
      </c>
      <c r="G12" s="11">
        <v>-3984</v>
      </c>
      <c r="H12" s="11">
        <v>-4047</v>
      </c>
      <c r="I12" s="11">
        <v>-3121</v>
      </c>
      <c r="J12" s="11">
        <v>-4704</v>
      </c>
      <c r="K12" s="11">
        <v>-4118</v>
      </c>
      <c r="L12" s="11">
        <v>-4288</v>
      </c>
      <c r="M12" s="11">
        <v>-3875</v>
      </c>
      <c r="N12" s="11">
        <v>-4762</v>
      </c>
      <c r="O12" s="11">
        <f t="shared" si="2"/>
        <v>-4098</v>
      </c>
      <c r="P12" s="12">
        <f t="shared" si="3"/>
        <v>-4329</v>
      </c>
      <c r="Q12" s="12">
        <f t="shared" si="3"/>
        <v>-4560</v>
      </c>
      <c r="R12" s="12">
        <f t="shared" si="3"/>
        <v>-4334</v>
      </c>
      <c r="S12" s="12">
        <f t="shared" si="4"/>
        <v>-5092</v>
      </c>
      <c r="T12" s="12">
        <f t="shared" si="5"/>
        <v>-5923</v>
      </c>
      <c r="U12" s="12">
        <f t="shared" si="5"/>
        <v>-5923</v>
      </c>
      <c r="V12" s="12">
        <f t="shared" si="5"/>
        <v>-6323</v>
      </c>
      <c r="W12" s="12">
        <f t="shared" si="6"/>
        <v>-6111</v>
      </c>
      <c r="X12" s="12">
        <f t="shared" si="0"/>
        <v>-7292</v>
      </c>
      <c r="Y12" s="12">
        <f t="shared" si="7"/>
        <v>-8941</v>
      </c>
      <c r="Z12" s="12">
        <f t="shared" si="7"/>
        <v>-9019</v>
      </c>
      <c r="AA12" s="12">
        <f t="shared" si="8"/>
        <v>-8615</v>
      </c>
      <c r="AB12" s="159"/>
      <c r="AC12" s="157"/>
      <c r="AD12" s="157"/>
      <c r="AE12" s="28"/>
      <c r="AH12" s="28"/>
      <c r="AI12" s="28"/>
      <c r="AJ12" s="28"/>
      <c r="AK12" s="28"/>
      <c r="AT12" s="28"/>
      <c r="AU12" s="28"/>
      <c r="AV12" s="28"/>
      <c r="AW12" s="28"/>
      <c r="AX12" s="28"/>
      <c r="AY12" s="28"/>
      <c r="AZ12" s="28"/>
      <c r="BA12" s="28"/>
      <c r="BB12" s="28"/>
    </row>
    <row r="13" spans="1:54" ht="12.5" thickBot="1">
      <c r="A13" s="118" t="s">
        <v>76</v>
      </c>
      <c r="B13" s="118" t="s">
        <v>165</v>
      </c>
      <c r="C13" s="11">
        <v>-960</v>
      </c>
      <c r="D13" s="11">
        <v>-1067</v>
      </c>
      <c r="E13" s="11">
        <v>-969</v>
      </c>
      <c r="F13" s="11">
        <v>-1020</v>
      </c>
      <c r="G13" s="11">
        <v>-969</v>
      </c>
      <c r="H13" s="11">
        <v>-1014</v>
      </c>
      <c r="I13" s="11">
        <v>-1023</v>
      </c>
      <c r="J13" s="11">
        <v>-1086</v>
      </c>
      <c r="K13" s="11">
        <v>-1033</v>
      </c>
      <c r="L13" s="11">
        <v>-1108</v>
      </c>
      <c r="M13" s="11">
        <v>-1144</v>
      </c>
      <c r="N13" s="11">
        <v>-1310</v>
      </c>
      <c r="O13" s="11">
        <f t="shared" si="2"/>
        <v>-1155</v>
      </c>
      <c r="P13" s="12">
        <f t="shared" si="3"/>
        <v>-1180</v>
      </c>
      <c r="Q13" s="12">
        <f t="shared" si="3"/>
        <v>-1211</v>
      </c>
      <c r="R13" s="12">
        <f t="shared" si="3"/>
        <v>-1230</v>
      </c>
      <c r="S13" s="12">
        <f t="shared" si="4"/>
        <v>-1294</v>
      </c>
      <c r="T13" s="12">
        <f t="shared" si="5"/>
        <v>-1380</v>
      </c>
      <c r="U13" s="12">
        <f t="shared" si="5"/>
        <v>-1413</v>
      </c>
      <c r="V13" s="12">
        <f t="shared" si="5"/>
        <v>-1502</v>
      </c>
      <c r="W13" s="12">
        <f t="shared" si="6"/>
        <v>-1377</v>
      </c>
      <c r="X13" s="12">
        <f t="shared" si="0"/>
        <v>-1848</v>
      </c>
      <c r="Y13" s="12">
        <f t="shared" si="7"/>
        <v>-2086</v>
      </c>
      <c r="Z13" s="12">
        <f t="shared" si="7"/>
        <v>-1932</v>
      </c>
      <c r="AA13" s="12">
        <f t="shared" si="8"/>
        <v>-1970</v>
      </c>
      <c r="AB13" s="159"/>
      <c r="AC13" s="157"/>
      <c r="AD13" s="157"/>
      <c r="AE13" s="28"/>
      <c r="AH13" s="28"/>
      <c r="AI13" s="28"/>
      <c r="AJ13" s="28"/>
      <c r="AK13" s="28"/>
      <c r="AT13" s="28"/>
      <c r="AU13" s="28"/>
      <c r="AV13" s="28"/>
      <c r="AW13" s="28"/>
      <c r="AX13" s="28"/>
      <c r="AY13" s="28"/>
      <c r="AZ13" s="28"/>
      <c r="BA13" s="28"/>
      <c r="BB13" s="28"/>
    </row>
    <row r="14" spans="1:54" ht="12.5" thickBot="1">
      <c r="A14" s="118" t="s">
        <v>77</v>
      </c>
      <c r="B14" s="118" t="s">
        <v>166</v>
      </c>
      <c r="C14" s="11">
        <v>-1372</v>
      </c>
      <c r="D14" s="11">
        <v>-1424</v>
      </c>
      <c r="E14" s="11">
        <v>-1274</v>
      </c>
      <c r="F14" s="11">
        <v>-1182</v>
      </c>
      <c r="G14" s="11">
        <v>-1186</v>
      </c>
      <c r="H14" s="11">
        <v>-1320</v>
      </c>
      <c r="I14" s="11">
        <v>-1231</v>
      </c>
      <c r="J14" s="11">
        <v>-1271</v>
      </c>
      <c r="K14" s="11">
        <v>-1243</v>
      </c>
      <c r="L14" s="11">
        <v>-1194</v>
      </c>
      <c r="M14" s="11">
        <v>-1249</v>
      </c>
      <c r="N14" s="11">
        <v>-1144</v>
      </c>
      <c r="O14" s="11">
        <f t="shared" si="2"/>
        <v>-1393</v>
      </c>
      <c r="P14" s="12">
        <f t="shared" si="3"/>
        <v>-1154</v>
      </c>
      <c r="Q14" s="12">
        <f t="shared" si="3"/>
        <v>-1021</v>
      </c>
      <c r="R14" s="12">
        <f t="shared" si="3"/>
        <v>-1095</v>
      </c>
      <c r="S14" s="12">
        <f t="shared" si="4"/>
        <v>-1126</v>
      </c>
      <c r="T14" s="12">
        <f t="shared" si="5"/>
        <v>-1269</v>
      </c>
      <c r="U14" s="12">
        <f t="shared" si="5"/>
        <v>-1278</v>
      </c>
      <c r="V14" s="12">
        <f t="shared" si="5"/>
        <v>-1286</v>
      </c>
      <c r="W14" s="12">
        <f t="shared" si="6"/>
        <v>-1401</v>
      </c>
      <c r="X14" s="12">
        <f t="shared" si="0"/>
        <v>-1656</v>
      </c>
      <c r="Y14" s="12">
        <f t="shared" si="7"/>
        <v>-2183</v>
      </c>
      <c r="Z14" s="12">
        <f t="shared" si="7"/>
        <v>-2157</v>
      </c>
      <c r="AA14" s="12">
        <f t="shared" si="8"/>
        <v>-2158</v>
      </c>
      <c r="AB14" s="159"/>
      <c r="AC14" s="157"/>
      <c r="AD14" s="157"/>
      <c r="AE14" s="28"/>
      <c r="AH14" s="28"/>
      <c r="AI14" s="28"/>
      <c r="AJ14" s="28"/>
      <c r="AK14" s="28"/>
      <c r="AT14" s="28"/>
      <c r="AU14" s="28"/>
      <c r="AV14" s="28"/>
      <c r="AW14" s="28"/>
      <c r="AX14" s="28"/>
      <c r="AY14" s="28"/>
      <c r="AZ14" s="28"/>
      <c r="BA14" s="28"/>
      <c r="BB14" s="28"/>
    </row>
    <row r="15" spans="1:54" ht="12.5" thickBot="1">
      <c r="A15" s="118" t="s">
        <v>78</v>
      </c>
      <c r="B15" s="118" t="s">
        <v>277</v>
      </c>
      <c r="C15" s="11">
        <v>-8901</v>
      </c>
      <c r="D15" s="11">
        <v>-8901</v>
      </c>
      <c r="E15" s="11">
        <v>-8901</v>
      </c>
      <c r="F15" s="11">
        <v>-8901</v>
      </c>
      <c r="G15" s="11">
        <v>-16365</v>
      </c>
      <c r="H15" s="11">
        <v>-16365</v>
      </c>
      <c r="I15" s="11">
        <v>-16364</v>
      </c>
      <c r="J15" s="11">
        <v>-16365</v>
      </c>
      <c r="K15" s="11">
        <v>-15346</v>
      </c>
      <c r="L15" s="11">
        <v>-15214</v>
      </c>
      <c r="M15" s="11">
        <v>-15345</v>
      </c>
      <c r="N15" s="11">
        <v>-15016</v>
      </c>
      <c r="O15" s="11">
        <f t="shared" si="2"/>
        <v>-57069</v>
      </c>
      <c r="P15" s="12">
        <f t="shared" si="3"/>
        <v>-15871</v>
      </c>
      <c r="Q15" s="12">
        <f t="shared" si="3"/>
        <v>-13236.806990000012</v>
      </c>
      <c r="R15" s="12">
        <f t="shared" si="3"/>
        <v>-13122</v>
      </c>
      <c r="S15" s="12">
        <f t="shared" si="4"/>
        <v>-54704</v>
      </c>
      <c r="T15" s="12">
        <f t="shared" si="5"/>
        <v>-14919</v>
      </c>
      <c r="U15" s="12">
        <f t="shared" si="5"/>
        <v>-17822</v>
      </c>
      <c r="V15" s="12">
        <f t="shared" si="5"/>
        <v>-18057</v>
      </c>
      <c r="W15" s="12">
        <f t="shared" si="6"/>
        <v>-84022</v>
      </c>
      <c r="X15" s="12">
        <f t="shared" si="0"/>
        <v>-12028</v>
      </c>
      <c r="Y15" s="12">
        <f t="shared" si="7"/>
        <v>-13530</v>
      </c>
      <c r="Z15" s="12">
        <f t="shared" si="7"/>
        <v>-13888</v>
      </c>
      <c r="AA15" s="12">
        <f t="shared" si="8"/>
        <v>-85075</v>
      </c>
      <c r="AB15" s="159"/>
      <c r="AC15" s="69"/>
      <c r="AD15" s="69"/>
      <c r="AT15" s="28"/>
      <c r="AU15" s="28"/>
      <c r="AV15" s="28"/>
      <c r="AW15" s="28"/>
      <c r="AX15" s="28"/>
      <c r="AY15" s="28"/>
      <c r="AZ15" s="28"/>
      <c r="BA15" s="28"/>
      <c r="BB15" s="28"/>
    </row>
    <row r="16" spans="1:54" ht="12.5" thickBot="1">
      <c r="A16" s="118" t="s">
        <v>79</v>
      </c>
      <c r="B16" s="118" t="s">
        <v>167</v>
      </c>
      <c r="C16" s="11">
        <v>-1574</v>
      </c>
      <c r="D16" s="11">
        <v>-1098</v>
      </c>
      <c r="E16" s="11">
        <v>-1017</v>
      </c>
      <c r="F16" s="11">
        <v>-662</v>
      </c>
      <c r="G16" s="11">
        <v>-841</v>
      </c>
      <c r="H16" s="11">
        <v>-837</v>
      </c>
      <c r="I16" s="11">
        <v>-1205</v>
      </c>
      <c r="J16" s="11">
        <v>-1695</v>
      </c>
      <c r="K16" s="11">
        <v>-1340</v>
      </c>
      <c r="L16" s="11">
        <v>-1339</v>
      </c>
      <c r="M16" s="11">
        <v>-1261</v>
      </c>
      <c r="N16" s="11">
        <v>-742</v>
      </c>
      <c r="O16" s="11">
        <f t="shared" si="2"/>
        <v>-1257</v>
      </c>
      <c r="P16" s="12">
        <f t="shared" si="3"/>
        <v>-1281</v>
      </c>
      <c r="Q16" s="12">
        <f t="shared" si="3"/>
        <v>782</v>
      </c>
      <c r="R16" s="12">
        <f t="shared" si="3"/>
        <v>-619</v>
      </c>
      <c r="S16" s="12">
        <f t="shared" si="4"/>
        <v>-1337</v>
      </c>
      <c r="T16" s="12">
        <f t="shared" si="5"/>
        <v>-1350</v>
      </c>
      <c r="U16" s="12">
        <f t="shared" si="5"/>
        <v>-2612</v>
      </c>
      <c r="V16" s="12">
        <f t="shared" si="5"/>
        <v>-1625</v>
      </c>
      <c r="W16" s="12">
        <f t="shared" si="6"/>
        <v>-1621</v>
      </c>
      <c r="X16" s="12">
        <f t="shared" si="0"/>
        <v>-1772</v>
      </c>
      <c r="Y16" s="12">
        <f t="shared" si="7"/>
        <v>-4090</v>
      </c>
      <c r="Z16" s="12">
        <f t="shared" si="7"/>
        <v>-2867</v>
      </c>
      <c r="AA16" s="12">
        <f t="shared" si="8"/>
        <v>-2501</v>
      </c>
      <c r="AB16" s="159"/>
      <c r="AC16" s="69"/>
      <c r="AD16" s="69"/>
      <c r="AT16" s="28"/>
      <c r="AU16" s="28"/>
      <c r="AV16" s="28"/>
      <c r="AW16" s="28"/>
      <c r="AX16" s="28"/>
      <c r="AY16" s="28"/>
      <c r="AZ16" s="28"/>
      <c r="BA16" s="28"/>
      <c r="BB16" s="28"/>
    </row>
    <row r="17" spans="1:59" ht="12.5" thickBot="1">
      <c r="A17" s="118" t="s">
        <v>67</v>
      </c>
      <c r="B17" s="118" t="s">
        <v>168</v>
      </c>
      <c r="C17" s="11">
        <v>-13739.663189999999</v>
      </c>
      <c r="D17" s="11">
        <v>-17074.234909999999</v>
      </c>
      <c r="E17" s="11">
        <v>-12054.101900000001</v>
      </c>
      <c r="F17" s="11">
        <v>-16933</v>
      </c>
      <c r="G17" s="11">
        <v>-11665</v>
      </c>
      <c r="H17" s="11">
        <v>-14179</v>
      </c>
      <c r="I17" s="11">
        <v>-11382</v>
      </c>
      <c r="J17" s="11">
        <v>-13553</v>
      </c>
      <c r="K17" s="11">
        <v>-11156</v>
      </c>
      <c r="L17" s="11">
        <v>-11132</v>
      </c>
      <c r="M17" s="11">
        <v>-10860</v>
      </c>
      <c r="N17" s="11">
        <v>-15050</v>
      </c>
      <c r="O17" s="11">
        <f t="shared" si="2"/>
        <v>-9572</v>
      </c>
      <c r="P17" s="12">
        <f t="shared" si="3"/>
        <v>-15279</v>
      </c>
      <c r="Q17" s="12">
        <f t="shared" si="3"/>
        <v>-14548</v>
      </c>
      <c r="R17" s="12">
        <f t="shared" si="3"/>
        <v>-17430</v>
      </c>
      <c r="S17" s="12">
        <f t="shared" si="4"/>
        <v>-15028</v>
      </c>
      <c r="T17" s="12">
        <f t="shared" si="5"/>
        <v>-8716</v>
      </c>
      <c r="U17" s="12">
        <f t="shared" si="5"/>
        <v>-17405</v>
      </c>
      <c r="V17" s="12">
        <f t="shared" si="5"/>
        <v>-18440</v>
      </c>
      <c r="W17" s="12">
        <f t="shared" si="6"/>
        <v>-15227</v>
      </c>
      <c r="X17" s="12">
        <f t="shared" si="0"/>
        <v>-3960</v>
      </c>
      <c r="Y17" s="12">
        <f t="shared" si="7"/>
        <v>-26270</v>
      </c>
      <c r="Z17" s="12">
        <f t="shared" si="7"/>
        <v>-32044</v>
      </c>
      <c r="AA17" s="12">
        <f t="shared" si="8"/>
        <v>-23489</v>
      </c>
      <c r="AB17" s="159"/>
      <c r="AC17" s="69"/>
      <c r="AD17" s="69"/>
      <c r="AT17" s="28"/>
      <c r="AU17" s="28"/>
      <c r="AV17" s="28"/>
      <c r="AW17" s="28"/>
      <c r="AX17" s="28"/>
      <c r="AY17" s="28"/>
      <c r="AZ17" s="28"/>
      <c r="BA17" s="28"/>
      <c r="BB17" s="28"/>
    </row>
    <row r="18" spans="1:59" ht="12.5" thickBot="1">
      <c r="A18" s="108" t="s">
        <v>68</v>
      </c>
      <c r="B18" s="108" t="s">
        <v>156</v>
      </c>
      <c r="C18" s="3">
        <v>-261161</v>
      </c>
      <c r="D18" s="3">
        <v>-266393</v>
      </c>
      <c r="E18" s="3">
        <v>-264933</v>
      </c>
      <c r="F18" s="3">
        <v>-263566</v>
      </c>
      <c r="G18" s="3">
        <v>-262514</v>
      </c>
      <c r="H18" s="3">
        <v>-258716</v>
      </c>
      <c r="I18" s="3">
        <v>-253399</v>
      </c>
      <c r="J18" s="3">
        <v>-261985</v>
      </c>
      <c r="K18" s="3">
        <v>-258360</v>
      </c>
      <c r="L18" s="3">
        <v>-266081</v>
      </c>
      <c r="M18" s="3">
        <v>-264776</v>
      </c>
      <c r="N18" s="3">
        <v>-268249</v>
      </c>
      <c r="O18" s="3">
        <f t="shared" ref="O18:T18" si="9">SUM(O4:O5)</f>
        <v>-301331</v>
      </c>
      <c r="P18" s="3">
        <f t="shared" si="9"/>
        <v>-279478</v>
      </c>
      <c r="Q18" s="3">
        <f t="shared" si="9"/>
        <v>-277519.80699000001</v>
      </c>
      <c r="R18" s="3">
        <f t="shared" si="9"/>
        <v>-291394</v>
      </c>
      <c r="S18" s="3">
        <f t="shared" si="9"/>
        <v>-316822</v>
      </c>
      <c r="T18" s="3">
        <f t="shared" si="9"/>
        <v>-288781</v>
      </c>
      <c r="U18" s="3">
        <f>SUM(U4:U5)</f>
        <v>-302770</v>
      </c>
      <c r="V18" s="3">
        <f t="shared" ref="V18:AA18" si="10">+V5+V4</f>
        <v>-305392</v>
      </c>
      <c r="W18" s="3">
        <f t="shared" si="10"/>
        <v>-351056</v>
      </c>
      <c r="X18" s="3">
        <f t="shared" si="10"/>
        <v>-331932</v>
      </c>
      <c r="Y18" s="3">
        <f t="shared" si="10"/>
        <v>-426448</v>
      </c>
      <c r="Z18" s="3">
        <f t="shared" si="10"/>
        <v>-435747</v>
      </c>
      <c r="AA18" s="3">
        <f t="shared" si="10"/>
        <v>-464566</v>
      </c>
      <c r="AB18" s="159"/>
      <c r="AC18" s="69"/>
      <c r="AD18" s="69"/>
      <c r="AT18" s="28"/>
      <c r="AU18" s="28"/>
      <c r="AV18" s="28"/>
      <c r="AW18" s="28"/>
      <c r="AX18" s="28"/>
      <c r="AY18" s="28"/>
      <c r="AZ18" s="28"/>
      <c r="BA18" s="28"/>
      <c r="BB18" s="28"/>
    </row>
    <row r="19" spans="1:59">
      <c r="A19" s="1" t="s">
        <v>218</v>
      </c>
      <c r="B19" s="1" t="s">
        <v>494</v>
      </c>
      <c r="C19" s="69"/>
      <c r="D19" s="69"/>
      <c r="E19" s="69"/>
      <c r="F19" s="69"/>
      <c r="G19" s="69"/>
      <c r="H19" s="69"/>
      <c r="I19" s="69"/>
      <c r="J19" s="69"/>
      <c r="K19" s="69"/>
      <c r="L19" s="69"/>
      <c r="M19" s="69"/>
      <c r="N19" s="69"/>
      <c r="O19" s="159"/>
      <c r="P19" s="159"/>
      <c r="Q19" s="159"/>
      <c r="R19" s="159"/>
      <c r="S19" s="159"/>
      <c r="T19" s="159"/>
      <c r="U19" s="159"/>
      <c r="V19" s="159"/>
      <c r="W19" s="159"/>
      <c r="X19" s="159"/>
      <c r="Y19" s="159"/>
      <c r="Z19" s="159"/>
      <c r="AA19" s="159"/>
      <c r="AB19" s="69"/>
      <c r="AC19" s="69"/>
      <c r="AS19" s="28"/>
      <c r="AT19" s="28"/>
      <c r="AU19" s="28"/>
      <c r="AV19" s="28"/>
      <c r="AW19" s="28"/>
      <c r="AX19" s="28"/>
      <c r="AY19" s="28"/>
      <c r="AZ19" s="28"/>
      <c r="BA19" s="28"/>
    </row>
    <row r="20" spans="1:59">
      <c r="A20" s="69" t="s">
        <v>348</v>
      </c>
      <c r="B20" s="1" t="s">
        <v>498</v>
      </c>
      <c r="C20" s="69"/>
      <c r="D20" s="69"/>
      <c r="E20" s="69"/>
      <c r="F20" s="69"/>
      <c r="G20" s="69"/>
      <c r="H20" s="69"/>
      <c r="I20" s="69"/>
      <c r="J20" s="69"/>
      <c r="K20" s="69"/>
      <c r="L20" s="69"/>
      <c r="M20" s="69"/>
      <c r="N20" s="69"/>
      <c r="O20" s="159"/>
      <c r="P20" s="159"/>
      <c r="Q20" s="159"/>
      <c r="R20" s="159"/>
      <c r="S20" s="159"/>
      <c r="T20" s="159"/>
      <c r="U20" s="159"/>
      <c r="V20" s="159"/>
      <c r="W20" s="159"/>
      <c r="X20" s="159"/>
      <c r="Y20" s="159"/>
      <c r="Z20" s="159"/>
      <c r="AA20" s="159"/>
      <c r="AB20" s="69"/>
      <c r="AC20" s="69"/>
      <c r="AS20" s="28"/>
      <c r="AT20" s="28"/>
      <c r="AU20" s="28"/>
      <c r="AV20" s="28"/>
      <c r="AW20" s="28"/>
      <c r="AX20" s="28"/>
      <c r="AY20" s="28"/>
      <c r="AZ20" s="28"/>
      <c r="BA20" s="28"/>
    </row>
    <row r="21" spans="1:59">
      <c r="C21" s="69"/>
      <c r="D21" s="69"/>
      <c r="E21" s="69"/>
      <c r="F21" s="69"/>
      <c r="G21" s="69"/>
      <c r="H21" s="69"/>
      <c r="I21" s="69"/>
      <c r="J21" s="69"/>
      <c r="K21" s="69"/>
      <c r="L21" s="69"/>
      <c r="M21" s="69"/>
      <c r="N21" s="69"/>
      <c r="O21" s="159"/>
      <c r="P21" s="159"/>
      <c r="Q21" s="159"/>
      <c r="R21" s="159"/>
      <c r="S21" s="159"/>
      <c r="T21" s="159"/>
      <c r="U21" s="159"/>
      <c r="V21" s="159"/>
      <c r="W21" s="159"/>
      <c r="X21" s="159"/>
      <c r="Y21" s="159"/>
      <c r="Z21" s="159"/>
      <c r="AA21" s="159"/>
      <c r="AB21" s="69"/>
      <c r="AC21" s="69"/>
      <c r="AS21" s="28"/>
      <c r="AT21" s="28"/>
      <c r="AU21" s="28"/>
      <c r="AV21" s="28"/>
      <c r="AW21" s="28"/>
      <c r="AX21" s="28"/>
      <c r="AY21" s="28"/>
      <c r="AZ21" s="28"/>
      <c r="BA21" s="28"/>
    </row>
    <row r="22" spans="1:59" ht="15.5">
      <c r="A22" s="112" t="s">
        <v>217</v>
      </c>
      <c r="C22" s="69"/>
      <c r="D22" s="69"/>
      <c r="E22" s="69"/>
      <c r="F22" s="69"/>
      <c r="G22" s="69"/>
      <c r="H22" s="69"/>
      <c r="I22" s="69"/>
      <c r="J22" s="69"/>
      <c r="K22" s="69"/>
      <c r="L22" s="69"/>
      <c r="M22" s="69"/>
      <c r="N22" s="69"/>
      <c r="O22" s="159"/>
      <c r="P22" s="159"/>
      <c r="Q22" s="159"/>
      <c r="R22" s="159"/>
      <c r="S22" s="159"/>
      <c r="T22" s="159"/>
      <c r="U22" s="159"/>
      <c r="V22" s="159"/>
      <c r="W22" s="159"/>
      <c r="X22" s="159"/>
      <c r="Y22" s="159"/>
      <c r="Z22" s="159"/>
      <c r="AA22" s="159"/>
      <c r="AB22" s="69"/>
      <c r="AC22" s="69"/>
      <c r="AS22" s="28"/>
      <c r="AT22" s="28"/>
      <c r="AU22" s="28"/>
      <c r="AV22" s="28"/>
      <c r="AW22" s="28"/>
      <c r="AX22" s="28"/>
      <c r="AY22" s="28"/>
      <c r="AZ22" s="28"/>
      <c r="BA22" s="28"/>
    </row>
    <row r="23" spans="1:59" ht="15.5">
      <c r="A23" s="112" t="s">
        <v>495</v>
      </c>
    </row>
    <row r="24" spans="1:59" ht="24.5" thickBot="1">
      <c r="A24" s="187" t="s">
        <v>521</v>
      </c>
      <c r="B24" s="187" t="s">
        <v>172</v>
      </c>
      <c r="C24" s="205" t="s">
        <v>189</v>
      </c>
      <c r="D24" s="205" t="s">
        <v>192</v>
      </c>
      <c r="E24" s="205" t="s">
        <v>196</v>
      </c>
      <c r="F24" s="205" t="s">
        <v>216</v>
      </c>
      <c r="G24" s="205" t="s">
        <v>219</v>
      </c>
      <c r="H24" s="205" t="s">
        <v>238</v>
      </c>
      <c r="I24" s="205" t="s">
        <v>239</v>
      </c>
      <c r="J24" s="205" t="s">
        <v>242</v>
      </c>
      <c r="K24" s="205" t="s">
        <v>245</v>
      </c>
      <c r="L24" s="205" t="s">
        <v>252</v>
      </c>
      <c r="M24" s="205" t="s">
        <v>257</v>
      </c>
      <c r="N24" s="205" t="s">
        <v>259</v>
      </c>
      <c r="O24" s="205" t="s">
        <v>262</v>
      </c>
      <c r="P24" s="205" t="s">
        <v>267</v>
      </c>
      <c r="Q24" s="205" t="s">
        <v>275</v>
      </c>
      <c r="R24" s="205" t="s">
        <v>282</v>
      </c>
      <c r="S24" s="205" t="s">
        <v>285</v>
      </c>
      <c r="T24" s="205" t="s">
        <v>365</v>
      </c>
      <c r="U24" s="205" t="s">
        <v>416</v>
      </c>
      <c r="V24" s="205" t="s">
        <v>418</v>
      </c>
      <c r="W24" s="205" t="s">
        <v>422</v>
      </c>
      <c r="X24" s="205" t="s">
        <v>431</v>
      </c>
      <c r="Y24" s="205" t="s">
        <v>437</v>
      </c>
      <c r="Z24" s="205" t="s">
        <v>441</v>
      </c>
      <c r="AA24" s="205" t="s">
        <v>527</v>
      </c>
    </row>
    <row r="25" spans="1:59">
      <c r="A25" s="104" t="s">
        <v>90</v>
      </c>
      <c r="B25" s="104" t="s">
        <v>158</v>
      </c>
      <c r="C25" s="11">
        <v>-135106</v>
      </c>
      <c r="D25" s="11">
        <v>-270021</v>
      </c>
      <c r="E25" s="11">
        <v>-409649</v>
      </c>
      <c r="F25" s="11">
        <v>-547014</v>
      </c>
      <c r="G25" s="11">
        <v>-138255</v>
      </c>
      <c r="H25" s="11">
        <v>-275163</v>
      </c>
      <c r="I25" s="11">
        <v>-411062</v>
      </c>
      <c r="J25" s="11">
        <v>-546905</v>
      </c>
      <c r="K25" s="11">
        <v>-138836</v>
      </c>
      <c r="L25" s="11">
        <v>-277914</v>
      </c>
      <c r="M25" s="11">
        <v>-417237</v>
      </c>
      <c r="N25" s="11">
        <v>-558758</v>
      </c>
      <c r="O25" s="11">
        <v>-145054</v>
      </c>
      <c r="P25" s="11">
        <v>-294954</v>
      </c>
      <c r="Q25" s="11">
        <v>-443966</v>
      </c>
      <c r="R25" s="11">
        <v>-596538</v>
      </c>
      <c r="S25" s="11">
        <v>-157699</v>
      </c>
      <c r="T25" s="11">
        <v>-316220</v>
      </c>
      <c r="U25" s="11">
        <v>-477187</v>
      </c>
      <c r="V25" s="11">
        <v>-638095</v>
      </c>
      <c r="W25" s="11">
        <v>-172555</v>
      </c>
      <c r="X25" s="11">
        <v>-372216</v>
      </c>
      <c r="Y25" s="11">
        <v>-603806</v>
      </c>
      <c r="Z25" s="11">
        <v>-836389</v>
      </c>
      <c r="AA25" s="11">
        <v>-243752</v>
      </c>
      <c r="AE25" s="28"/>
      <c r="BB25" s="28"/>
      <c r="BC25" s="28"/>
      <c r="BE25" s="28"/>
      <c r="BF25" s="28"/>
      <c r="BG25" s="28"/>
    </row>
    <row r="26" spans="1:59">
      <c r="A26" s="104" t="s">
        <v>80</v>
      </c>
      <c r="B26" s="104" t="s">
        <v>173</v>
      </c>
      <c r="C26" s="12">
        <v>-126055</v>
      </c>
      <c r="D26" s="12">
        <v>-257533</v>
      </c>
      <c r="E26" s="12">
        <v>-382838</v>
      </c>
      <c r="F26" s="12">
        <v>-509039</v>
      </c>
      <c r="G26" s="12">
        <v>-124259</v>
      </c>
      <c r="H26" s="12">
        <f t="shared" ref="H26:N26" si="11">SUM(H27:H38)</f>
        <v>-246067</v>
      </c>
      <c r="I26" s="12">
        <f t="shared" si="11"/>
        <v>-363567</v>
      </c>
      <c r="J26" s="12">
        <f t="shared" si="11"/>
        <v>-489709</v>
      </c>
      <c r="K26" s="12">
        <f t="shared" si="11"/>
        <v>-119524</v>
      </c>
      <c r="L26" s="12">
        <f t="shared" si="11"/>
        <v>-246527</v>
      </c>
      <c r="M26" s="12">
        <f t="shared" si="11"/>
        <v>-371980</v>
      </c>
      <c r="N26" s="12">
        <f t="shared" si="11"/>
        <v>-498708</v>
      </c>
      <c r="O26" s="12">
        <f t="shared" ref="O26:T26" si="12">SUM(O27:O38)</f>
        <v>-156277</v>
      </c>
      <c r="P26" s="12">
        <f t="shared" si="12"/>
        <v>-285855</v>
      </c>
      <c r="Q26" s="12">
        <f t="shared" si="12"/>
        <v>-414362.80699000001</v>
      </c>
      <c r="R26" s="12">
        <f t="shared" si="12"/>
        <v>-553184.80698999995</v>
      </c>
      <c r="S26" s="12">
        <f t="shared" si="12"/>
        <v>-159123</v>
      </c>
      <c r="T26" s="12">
        <f t="shared" si="12"/>
        <v>-289383</v>
      </c>
      <c r="U26" s="12">
        <f t="shared" ref="U26:Z26" si="13">SUM(U27:U38)</f>
        <v>-431186</v>
      </c>
      <c r="V26" s="12">
        <f t="shared" si="13"/>
        <v>-575670</v>
      </c>
      <c r="W26" s="12">
        <f t="shared" si="13"/>
        <v>-178501</v>
      </c>
      <c r="X26" s="12">
        <f t="shared" si="13"/>
        <v>-310772</v>
      </c>
      <c r="Y26" s="12">
        <f t="shared" si="13"/>
        <v>-505630</v>
      </c>
      <c r="Z26" s="12">
        <f t="shared" si="13"/>
        <v>-708794</v>
      </c>
      <c r="AA26" s="12">
        <f>SUM(AA27:AA38)</f>
        <v>-220814</v>
      </c>
      <c r="AE26" s="28"/>
      <c r="BB26" s="28"/>
      <c r="BC26" s="28"/>
      <c r="BE26" s="28"/>
      <c r="BF26" s="28"/>
      <c r="BG26" s="28"/>
    </row>
    <row r="27" spans="1:59" ht="12.5" thickBot="1">
      <c r="A27" s="118" t="s">
        <v>70</v>
      </c>
      <c r="B27" s="118" t="s">
        <v>159</v>
      </c>
      <c r="C27" s="12">
        <v>-15451</v>
      </c>
      <c r="D27" s="12">
        <v>-34418</v>
      </c>
      <c r="E27" s="12">
        <v>-48499</v>
      </c>
      <c r="F27" s="12">
        <v>-63693</v>
      </c>
      <c r="G27" s="12">
        <v>-15614</v>
      </c>
      <c r="H27" s="12">
        <v>-25147</v>
      </c>
      <c r="I27" s="12">
        <v>-33020</v>
      </c>
      <c r="J27" s="12">
        <v>-44416</v>
      </c>
      <c r="K27" s="12">
        <v>-8328</v>
      </c>
      <c r="L27" s="12">
        <v>-21031</v>
      </c>
      <c r="M27" s="12">
        <v>-34301</v>
      </c>
      <c r="N27" s="12">
        <v>-44262</v>
      </c>
      <c r="O27" s="12">
        <v>-6089</v>
      </c>
      <c r="P27" s="12">
        <v>-21199</v>
      </c>
      <c r="Q27" s="12">
        <v>-36069</v>
      </c>
      <c r="R27" s="12">
        <v>-53963</v>
      </c>
      <c r="S27" s="12">
        <v>-7583</v>
      </c>
      <c r="T27" s="12">
        <v>-23957</v>
      </c>
      <c r="U27" s="12">
        <v>-38389</v>
      </c>
      <c r="V27" s="12">
        <v>-58056</v>
      </c>
      <c r="W27" s="12">
        <v>-6795</v>
      </c>
      <c r="X27" s="12">
        <v>-26888</v>
      </c>
      <c r="Y27" s="12">
        <v>-51723</v>
      </c>
      <c r="Z27" s="12">
        <v>-80824</v>
      </c>
      <c r="AA27" s="12">
        <v>-14101</v>
      </c>
      <c r="AE27" s="28"/>
      <c r="BB27" s="28"/>
      <c r="BC27" s="28"/>
      <c r="BE27" s="28"/>
      <c r="BF27" s="28"/>
      <c r="BG27" s="28"/>
    </row>
    <row r="28" spans="1:59" ht="12.5" thickBot="1">
      <c r="A28" s="118" t="s">
        <v>195</v>
      </c>
      <c r="B28" s="118" t="s">
        <v>194</v>
      </c>
      <c r="C28" s="12">
        <v>-18264.336810000001</v>
      </c>
      <c r="D28" s="12">
        <v>-36067.101900000001</v>
      </c>
      <c r="E28" s="12">
        <v>-53943</v>
      </c>
      <c r="F28" s="12">
        <v>-70487</v>
      </c>
      <c r="G28" s="12">
        <v>-17403</v>
      </c>
      <c r="H28" s="12">
        <v>-34723</v>
      </c>
      <c r="I28" s="12">
        <v>-52393</v>
      </c>
      <c r="J28" s="12">
        <v>-69760</v>
      </c>
      <c r="K28" s="12">
        <v>-18217</v>
      </c>
      <c r="L28" s="12">
        <v>-36331</v>
      </c>
      <c r="M28" s="12">
        <v>-55333</v>
      </c>
      <c r="N28" s="12">
        <v>-75113</v>
      </c>
      <c r="O28" s="12">
        <v>-18972</v>
      </c>
      <c r="P28" s="12">
        <v>-38215</v>
      </c>
      <c r="Q28" s="12">
        <v>-57798</v>
      </c>
      <c r="R28" s="12">
        <v>-78050</v>
      </c>
      <c r="S28" s="12">
        <v>-20701</v>
      </c>
      <c r="T28" s="12">
        <v>-43563</v>
      </c>
      <c r="U28" s="12">
        <v>-65998</v>
      </c>
      <c r="V28" s="12">
        <v>-89577</v>
      </c>
      <c r="W28" s="12">
        <v>-24258</v>
      </c>
      <c r="X28" s="12">
        <v>-59875</v>
      </c>
      <c r="Y28" s="12">
        <v>-108193</v>
      </c>
      <c r="Z28" s="12">
        <v>-162205</v>
      </c>
      <c r="AA28" s="12">
        <v>-34854</v>
      </c>
      <c r="AE28" s="28"/>
      <c r="BB28" s="28"/>
      <c r="BC28" s="28"/>
      <c r="BE28" s="28"/>
      <c r="BF28" s="28"/>
      <c r="BG28" s="28"/>
    </row>
    <row r="29" spans="1:59" ht="12.5" thickBot="1">
      <c r="A29" s="118" t="s">
        <v>71</v>
      </c>
      <c r="B29" s="118" t="s">
        <v>160</v>
      </c>
      <c r="C29" s="12">
        <v>-45428</v>
      </c>
      <c r="D29" s="12">
        <v>-90007</v>
      </c>
      <c r="E29" s="12">
        <v>-134058</v>
      </c>
      <c r="F29" s="12">
        <v>-181763</v>
      </c>
      <c r="G29" s="12">
        <v>-43655</v>
      </c>
      <c r="H29" s="12">
        <v>-86591</v>
      </c>
      <c r="I29" s="12">
        <v>-129715</v>
      </c>
      <c r="J29" s="12">
        <v>-174425</v>
      </c>
      <c r="K29" s="12">
        <v>-44493</v>
      </c>
      <c r="L29" s="12">
        <v>-90924</v>
      </c>
      <c r="M29" s="12">
        <v>-132259</v>
      </c>
      <c r="N29" s="12">
        <v>-174889</v>
      </c>
      <c r="O29" s="12">
        <v>-40960</v>
      </c>
      <c r="P29" s="12">
        <v>-78723</v>
      </c>
      <c r="Q29" s="12">
        <v>-118437</v>
      </c>
      <c r="R29" s="12">
        <v>-157369</v>
      </c>
      <c r="S29" s="12">
        <v>-36375</v>
      </c>
      <c r="T29" s="12">
        <v>-73516</v>
      </c>
      <c r="U29" s="12">
        <v>-109602</v>
      </c>
      <c r="V29" s="12">
        <v>-145691</v>
      </c>
      <c r="W29" s="12">
        <v>-18386</v>
      </c>
      <c r="X29" s="12">
        <v>-36879</v>
      </c>
      <c r="Y29" s="12">
        <v>-55488</v>
      </c>
      <c r="Z29" s="12">
        <v>-70536</v>
      </c>
      <c r="AA29" s="12">
        <v>-21081</v>
      </c>
      <c r="AE29" s="28"/>
      <c r="BB29" s="28"/>
      <c r="BC29" s="28"/>
      <c r="BE29" s="28"/>
      <c r="BF29" s="28"/>
      <c r="BG29" s="28"/>
    </row>
    <row r="30" spans="1:59" ht="24.5" thickBot="1">
      <c r="A30" s="118" t="s">
        <v>72</v>
      </c>
      <c r="B30" s="118" t="s">
        <v>161</v>
      </c>
      <c r="C30" s="12">
        <v>-6054</v>
      </c>
      <c r="D30" s="12">
        <v>-12708</v>
      </c>
      <c r="E30" s="12">
        <v>-19102</v>
      </c>
      <c r="F30" s="12">
        <v>-25349</v>
      </c>
      <c r="G30" s="12">
        <v>-6703</v>
      </c>
      <c r="H30" s="12">
        <v>-13647</v>
      </c>
      <c r="I30" s="12">
        <v>-20223</v>
      </c>
      <c r="J30" s="12">
        <v>-26914</v>
      </c>
      <c r="K30" s="12">
        <v>-6477</v>
      </c>
      <c r="L30" s="12">
        <v>-12995</v>
      </c>
      <c r="M30" s="12">
        <v>-19724</v>
      </c>
      <c r="N30" s="12">
        <v>-25673</v>
      </c>
      <c r="O30" s="12">
        <v>-6213</v>
      </c>
      <c r="P30" s="12">
        <v>-12738</v>
      </c>
      <c r="Q30" s="12">
        <v>-19118</v>
      </c>
      <c r="R30" s="12">
        <v>-25800</v>
      </c>
      <c r="S30" s="12">
        <v>-6590</v>
      </c>
      <c r="T30" s="12">
        <v>-13267</v>
      </c>
      <c r="U30" s="12">
        <v>-20191</v>
      </c>
      <c r="V30" s="12">
        <v>-28008</v>
      </c>
      <c r="W30" s="12">
        <v>-8627</v>
      </c>
      <c r="X30" s="12">
        <v>-18749</v>
      </c>
      <c r="Y30" s="12">
        <v>-30259</v>
      </c>
      <c r="Z30" s="12">
        <v>-45173</v>
      </c>
      <c r="AA30" s="12">
        <v>-13846</v>
      </c>
      <c r="AE30" s="28"/>
      <c r="BB30" s="28"/>
      <c r="BC30" s="28"/>
      <c r="BE30" s="28"/>
      <c r="BF30" s="28"/>
      <c r="BG30" s="28"/>
    </row>
    <row r="31" spans="1:59" ht="12.5" thickBot="1">
      <c r="A31" s="118" t="s">
        <v>73</v>
      </c>
      <c r="B31" s="118" t="s">
        <v>162</v>
      </c>
      <c r="C31" s="12">
        <v>-4003</v>
      </c>
      <c r="D31" s="12">
        <v>-8331</v>
      </c>
      <c r="E31" s="12">
        <v>-12541</v>
      </c>
      <c r="F31" s="12">
        <v>-16668</v>
      </c>
      <c r="G31" s="12">
        <v>-4070</v>
      </c>
      <c r="H31" s="12">
        <v>-8092</v>
      </c>
      <c r="I31" s="12">
        <v>-12442</v>
      </c>
      <c r="J31" s="12">
        <v>-16501</v>
      </c>
      <c r="K31" s="12">
        <v>-4022</v>
      </c>
      <c r="L31" s="12">
        <v>-8242</v>
      </c>
      <c r="M31" s="12">
        <v>-12528</v>
      </c>
      <c r="N31" s="12">
        <v>-16511</v>
      </c>
      <c r="O31" s="12">
        <v>-4360</v>
      </c>
      <c r="P31" s="12">
        <v>-8545</v>
      </c>
      <c r="Q31" s="12">
        <v>-13010</v>
      </c>
      <c r="R31" s="12">
        <v>-17551</v>
      </c>
      <c r="S31" s="12">
        <v>-4652</v>
      </c>
      <c r="T31" s="12">
        <v>-9491</v>
      </c>
      <c r="U31" s="12">
        <v>-14426</v>
      </c>
      <c r="V31" s="12">
        <v>-19662</v>
      </c>
      <c r="W31" s="12">
        <v>-4957</v>
      </c>
      <c r="X31" s="12">
        <v>-10304</v>
      </c>
      <c r="Y31" s="12">
        <v>-15489</v>
      </c>
      <c r="Z31" s="12">
        <v>-21227</v>
      </c>
      <c r="AA31" s="12">
        <v>-7541</v>
      </c>
      <c r="AE31" s="28"/>
      <c r="BB31" s="28"/>
      <c r="BC31" s="28"/>
      <c r="BE31" s="28"/>
      <c r="BF31" s="28"/>
      <c r="BG31" s="28"/>
    </row>
    <row r="32" spans="1:59" ht="24.5" thickBot="1">
      <c r="A32" s="118" t="s">
        <v>74</v>
      </c>
      <c r="B32" s="118" t="s">
        <v>163</v>
      </c>
      <c r="C32" s="12">
        <v>-6232</v>
      </c>
      <c r="D32" s="12">
        <v>-11657</v>
      </c>
      <c r="E32" s="12">
        <v>-21688</v>
      </c>
      <c r="F32" s="12">
        <v>-24037</v>
      </c>
      <c r="G32" s="12">
        <v>-1804</v>
      </c>
      <c r="H32" s="12">
        <v>-5095</v>
      </c>
      <c r="I32" s="12">
        <v>-8676</v>
      </c>
      <c r="J32" s="12">
        <v>-11921</v>
      </c>
      <c r="K32" s="12">
        <v>-3751</v>
      </c>
      <c r="L32" s="12">
        <v>-8493</v>
      </c>
      <c r="M32" s="12">
        <v>-15590</v>
      </c>
      <c r="N32" s="12">
        <v>-21991</v>
      </c>
      <c r="O32" s="12">
        <v>-5139</v>
      </c>
      <c r="P32" s="12">
        <v>-12797</v>
      </c>
      <c r="Q32" s="12">
        <v>-22498</v>
      </c>
      <c r="R32" s="12">
        <v>-35189</v>
      </c>
      <c r="S32" s="12">
        <v>-4641</v>
      </c>
      <c r="T32" s="12">
        <v>-13451</v>
      </c>
      <c r="U32" s="12">
        <v>-23989</v>
      </c>
      <c r="V32" s="12">
        <v>-28852</v>
      </c>
      <c r="W32" s="12">
        <v>-5719</v>
      </c>
      <c r="X32" s="12">
        <v>-19762</v>
      </c>
      <c r="Y32" s="12">
        <v>-49063</v>
      </c>
      <c r="Z32" s="12">
        <v>-71507</v>
      </c>
      <c r="AA32" s="12">
        <v>-5583</v>
      </c>
      <c r="AE32" s="28"/>
      <c r="BB32" s="28"/>
      <c r="BC32" s="28"/>
      <c r="BE32" s="28"/>
      <c r="BF32" s="28"/>
      <c r="BG32" s="28"/>
    </row>
    <row r="33" spans="1:59" ht="12.5" thickBot="1">
      <c r="A33" s="118" t="s">
        <v>75</v>
      </c>
      <c r="B33" s="118" t="s">
        <v>164</v>
      </c>
      <c r="C33" s="12">
        <v>-4076</v>
      </c>
      <c r="D33" s="12">
        <v>-8234</v>
      </c>
      <c r="E33" s="12">
        <v>-12681</v>
      </c>
      <c r="F33" s="12">
        <v>-18018</v>
      </c>
      <c r="G33" s="12">
        <v>-3984</v>
      </c>
      <c r="H33" s="12">
        <v>-8031</v>
      </c>
      <c r="I33" s="12">
        <v>-11152</v>
      </c>
      <c r="J33" s="12">
        <v>-15856</v>
      </c>
      <c r="K33" s="12">
        <v>-4118</v>
      </c>
      <c r="L33" s="12">
        <v>-8406</v>
      </c>
      <c r="M33" s="12">
        <v>-12281</v>
      </c>
      <c r="N33" s="12">
        <v>-17043</v>
      </c>
      <c r="O33" s="12">
        <v>-4098</v>
      </c>
      <c r="P33" s="12">
        <v>-8427</v>
      </c>
      <c r="Q33" s="12">
        <v>-12987</v>
      </c>
      <c r="R33" s="12">
        <v>-17321</v>
      </c>
      <c r="S33" s="12">
        <v>-5092</v>
      </c>
      <c r="T33" s="12">
        <v>-11015</v>
      </c>
      <c r="U33" s="12">
        <v>-16938</v>
      </c>
      <c r="V33" s="12">
        <v>-23261</v>
      </c>
      <c r="W33" s="12">
        <v>-6111</v>
      </c>
      <c r="X33" s="12">
        <v>-13403</v>
      </c>
      <c r="Y33" s="12">
        <v>-22344</v>
      </c>
      <c r="Z33" s="12">
        <v>-31363</v>
      </c>
      <c r="AA33" s="12">
        <v>-8615</v>
      </c>
      <c r="AE33" s="28"/>
      <c r="BB33" s="28"/>
      <c r="BC33" s="28"/>
      <c r="BE33" s="28"/>
      <c r="BF33" s="28"/>
      <c r="BG33" s="28"/>
    </row>
    <row r="34" spans="1:59" ht="12.5" thickBot="1">
      <c r="A34" s="118" t="s">
        <v>76</v>
      </c>
      <c r="B34" s="118" t="s">
        <v>165</v>
      </c>
      <c r="C34" s="12">
        <v>-960</v>
      </c>
      <c r="D34" s="12">
        <v>-2027</v>
      </c>
      <c r="E34" s="12">
        <v>-2996</v>
      </c>
      <c r="F34" s="12">
        <v>-4016</v>
      </c>
      <c r="G34" s="12">
        <v>-969</v>
      </c>
      <c r="H34" s="12">
        <v>-1983</v>
      </c>
      <c r="I34" s="12">
        <v>-3006</v>
      </c>
      <c r="J34" s="12">
        <v>-4092</v>
      </c>
      <c r="K34" s="12">
        <v>-1033</v>
      </c>
      <c r="L34" s="12">
        <v>-2141</v>
      </c>
      <c r="M34" s="12">
        <v>-3285</v>
      </c>
      <c r="N34" s="12">
        <v>-4595</v>
      </c>
      <c r="O34" s="12">
        <v>-1155</v>
      </c>
      <c r="P34" s="12">
        <v>-2335</v>
      </c>
      <c r="Q34" s="12">
        <v>-3546</v>
      </c>
      <c r="R34" s="12">
        <v>-4776</v>
      </c>
      <c r="S34" s="12">
        <v>-1294</v>
      </c>
      <c r="T34" s="12">
        <v>-2674</v>
      </c>
      <c r="U34" s="12">
        <v>-4087</v>
      </c>
      <c r="V34" s="12">
        <v>-5589</v>
      </c>
      <c r="W34" s="12">
        <v>-1377</v>
      </c>
      <c r="X34" s="12">
        <v>-3225</v>
      </c>
      <c r="Y34" s="12">
        <v>-5311</v>
      </c>
      <c r="Z34" s="12">
        <v>-7243</v>
      </c>
      <c r="AA34" s="12">
        <v>-1970</v>
      </c>
      <c r="AE34" s="28"/>
      <c r="BB34" s="28"/>
      <c r="BC34" s="28"/>
      <c r="BE34" s="28"/>
      <c r="BF34" s="28"/>
      <c r="BG34" s="28"/>
    </row>
    <row r="35" spans="1:59" ht="12.5" thickBot="1">
      <c r="A35" s="118" t="s">
        <v>77</v>
      </c>
      <c r="B35" s="118" t="s">
        <v>166</v>
      </c>
      <c r="C35" s="12">
        <v>-1372</v>
      </c>
      <c r="D35" s="12">
        <v>-2796</v>
      </c>
      <c r="E35" s="12">
        <v>-4070</v>
      </c>
      <c r="F35" s="12">
        <v>-5252</v>
      </c>
      <c r="G35" s="12">
        <v>-1186</v>
      </c>
      <c r="H35" s="12">
        <v>-2506</v>
      </c>
      <c r="I35" s="12">
        <v>-3737</v>
      </c>
      <c r="J35" s="12">
        <v>-5008</v>
      </c>
      <c r="K35" s="12">
        <v>-1243</v>
      </c>
      <c r="L35" s="12">
        <v>-2437</v>
      </c>
      <c r="M35" s="12">
        <v>-3686</v>
      </c>
      <c r="N35" s="12">
        <v>-4830</v>
      </c>
      <c r="O35" s="12">
        <v>-1393</v>
      </c>
      <c r="P35" s="12">
        <v>-2547</v>
      </c>
      <c r="Q35" s="12">
        <v>-3568</v>
      </c>
      <c r="R35" s="12">
        <v>-4663</v>
      </c>
      <c r="S35" s="12">
        <v>-1126</v>
      </c>
      <c r="T35" s="12">
        <v>-2395</v>
      </c>
      <c r="U35" s="12">
        <v>-3673</v>
      </c>
      <c r="V35" s="12">
        <v>-4959</v>
      </c>
      <c r="W35" s="12">
        <v>-1401</v>
      </c>
      <c r="X35" s="12">
        <v>-3057</v>
      </c>
      <c r="Y35" s="12">
        <v>-5240</v>
      </c>
      <c r="Z35" s="12">
        <v>-7397</v>
      </c>
      <c r="AA35" s="12">
        <v>-2158</v>
      </c>
      <c r="AE35" s="28"/>
      <c r="BB35" s="28"/>
      <c r="BC35" s="28"/>
      <c r="BE35" s="28"/>
      <c r="BF35" s="28"/>
      <c r="BG35" s="28"/>
    </row>
    <row r="36" spans="1:59" ht="12.5" thickBot="1">
      <c r="A36" s="118" t="s">
        <v>278</v>
      </c>
      <c r="B36" s="118" t="s">
        <v>277</v>
      </c>
      <c r="C36" s="12">
        <v>-8901</v>
      </c>
      <c r="D36" s="12">
        <v>-17802</v>
      </c>
      <c r="E36" s="12">
        <v>-26703</v>
      </c>
      <c r="F36" s="12">
        <v>-35604</v>
      </c>
      <c r="G36" s="12">
        <v>-16365</v>
      </c>
      <c r="H36" s="12">
        <v>-32730</v>
      </c>
      <c r="I36" s="12">
        <v>-49094</v>
      </c>
      <c r="J36" s="12">
        <v>-65459</v>
      </c>
      <c r="K36" s="12">
        <v>-15346</v>
      </c>
      <c r="L36" s="12">
        <v>-30560</v>
      </c>
      <c r="M36" s="12">
        <v>-45905</v>
      </c>
      <c r="N36" s="12">
        <v>-60921</v>
      </c>
      <c r="O36" s="12">
        <v>-57069</v>
      </c>
      <c r="P36" s="12">
        <v>-72940</v>
      </c>
      <c r="Q36" s="12">
        <v>-86176.806990000012</v>
      </c>
      <c r="R36" s="12">
        <v>-99298.806990000012</v>
      </c>
      <c r="S36" s="12">
        <v>-54704</v>
      </c>
      <c r="T36" s="12">
        <v>-69623</v>
      </c>
      <c r="U36" s="12">
        <v>-87445</v>
      </c>
      <c r="V36" s="12">
        <v>-105502</v>
      </c>
      <c r="W36" s="12">
        <v>-84022</v>
      </c>
      <c r="X36" s="12">
        <v>-96050</v>
      </c>
      <c r="Y36" s="12">
        <v>-109580</v>
      </c>
      <c r="Z36" s="12">
        <v>-123468</v>
      </c>
      <c r="AA36" s="12">
        <v>-85075</v>
      </c>
      <c r="AE36" s="28"/>
      <c r="BB36" s="28"/>
      <c r="BC36" s="28"/>
      <c r="BE36" s="28"/>
      <c r="BF36" s="28"/>
      <c r="BG36" s="28"/>
    </row>
    <row r="37" spans="1:59" ht="12.5" thickBot="1">
      <c r="A37" s="118" t="s">
        <v>79</v>
      </c>
      <c r="B37" s="118" t="s">
        <v>167</v>
      </c>
      <c r="C37" s="12">
        <v>-1574</v>
      </c>
      <c r="D37" s="12">
        <v>-2672</v>
      </c>
      <c r="E37" s="12">
        <v>-3689</v>
      </c>
      <c r="F37" s="12">
        <v>-4351</v>
      </c>
      <c r="G37" s="12">
        <v>-841</v>
      </c>
      <c r="H37" s="12">
        <v>-1678</v>
      </c>
      <c r="I37" s="12">
        <v>-2883</v>
      </c>
      <c r="J37" s="12">
        <v>-4578</v>
      </c>
      <c r="K37" s="12">
        <v>-1340</v>
      </c>
      <c r="L37" s="12">
        <v>-2679</v>
      </c>
      <c r="M37" s="12">
        <v>-3940</v>
      </c>
      <c r="N37" s="12">
        <v>-4682</v>
      </c>
      <c r="O37" s="12">
        <v>-1257</v>
      </c>
      <c r="P37" s="12">
        <v>-2538</v>
      </c>
      <c r="Q37" s="12">
        <v>-1756</v>
      </c>
      <c r="R37" s="12">
        <v>-2375</v>
      </c>
      <c r="S37" s="12">
        <v>-1337</v>
      </c>
      <c r="T37" s="12">
        <v>-2687</v>
      </c>
      <c r="U37" s="12">
        <v>-5299</v>
      </c>
      <c r="V37" s="12">
        <v>-6924</v>
      </c>
      <c r="W37" s="12">
        <v>-1621</v>
      </c>
      <c r="X37" s="12">
        <v>-3393</v>
      </c>
      <c r="Y37" s="12">
        <v>-7483</v>
      </c>
      <c r="Z37" s="12">
        <v>-10350</v>
      </c>
      <c r="AA37" s="12">
        <v>-2501</v>
      </c>
      <c r="AE37" s="28"/>
      <c r="BB37" s="28"/>
      <c r="BC37" s="28"/>
      <c r="BE37" s="28"/>
      <c r="BF37" s="28"/>
      <c r="BG37" s="28"/>
    </row>
    <row r="38" spans="1:59" ht="12.5" thickBot="1">
      <c r="A38" s="118" t="s">
        <v>67</v>
      </c>
      <c r="B38" s="118" t="s">
        <v>168</v>
      </c>
      <c r="C38" s="12">
        <v>-13739.663189999999</v>
      </c>
      <c r="D38" s="12">
        <v>-30813.898099999999</v>
      </c>
      <c r="E38" s="12">
        <v>-42868</v>
      </c>
      <c r="F38" s="12">
        <v>-59801</v>
      </c>
      <c r="G38" s="12">
        <v>-11665</v>
      </c>
      <c r="H38" s="12">
        <v>-25844</v>
      </c>
      <c r="I38" s="12">
        <v>-37226</v>
      </c>
      <c r="J38" s="12">
        <v>-50779</v>
      </c>
      <c r="K38" s="12">
        <v>-11156</v>
      </c>
      <c r="L38" s="12">
        <v>-22288</v>
      </c>
      <c r="M38" s="12">
        <v>-33148</v>
      </c>
      <c r="N38" s="12">
        <v>-48198</v>
      </c>
      <c r="O38" s="12">
        <v>-9572</v>
      </c>
      <c r="P38" s="12">
        <v>-24851</v>
      </c>
      <c r="Q38" s="12">
        <v>-39399</v>
      </c>
      <c r="R38" s="12">
        <v>-56829</v>
      </c>
      <c r="S38" s="12">
        <v>-15028</v>
      </c>
      <c r="T38" s="12">
        <v>-23744</v>
      </c>
      <c r="U38" s="12">
        <v>-41149</v>
      </c>
      <c r="V38" s="12">
        <v>-59589</v>
      </c>
      <c r="W38" s="12">
        <v>-15227</v>
      </c>
      <c r="X38" s="12">
        <v>-19187</v>
      </c>
      <c r="Y38" s="12">
        <v>-45457</v>
      </c>
      <c r="Z38" s="12">
        <v>-77501</v>
      </c>
      <c r="AA38" s="12">
        <v>-23489</v>
      </c>
      <c r="AE38" s="28"/>
      <c r="BB38" s="28"/>
      <c r="BC38" s="28"/>
      <c r="BE38" s="28"/>
      <c r="BF38" s="28"/>
      <c r="BG38" s="28"/>
    </row>
    <row r="39" spans="1:59" ht="12.5" thickBot="1">
      <c r="A39" s="108" t="s">
        <v>68</v>
      </c>
      <c r="B39" s="108" t="s">
        <v>156</v>
      </c>
      <c r="C39" s="3">
        <v>-261161</v>
      </c>
      <c r="D39" s="3">
        <v>-527554</v>
      </c>
      <c r="E39" s="3">
        <v>-792487</v>
      </c>
      <c r="F39" s="3">
        <v>-1056053</v>
      </c>
      <c r="G39" s="3">
        <v>-262514</v>
      </c>
      <c r="H39" s="3">
        <f t="shared" ref="H39:M39" si="14">SUM(H25:H26)</f>
        <v>-521230</v>
      </c>
      <c r="I39" s="3">
        <f t="shared" si="14"/>
        <v>-774629</v>
      </c>
      <c r="J39" s="3">
        <f t="shared" si="14"/>
        <v>-1036614</v>
      </c>
      <c r="K39" s="3">
        <f t="shared" si="14"/>
        <v>-258360</v>
      </c>
      <c r="L39" s="3">
        <f t="shared" si="14"/>
        <v>-524441</v>
      </c>
      <c r="M39" s="3">
        <f t="shared" si="14"/>
        <v>-789217</v>
      </c>
      <c r="N39" s="3">
        <f t="shared" ref="N39:S39" si="15">SUM(N25:N26)</f>
        <v>-1057466</v>
      </c>
      <c r="O39" s="3">
        <f t="shared" si="15"/>
        <v>-301331</v>
      </c>
      <c r="P39" s="3">
        <f t="shared" si="15"/>
        <v>-580809</v>
      </c>
      <c r="Q39" s="3">
        <f t="shared" si="15"/>
        <v>-858328.80698999995</v>
      </c>
      <c r="R39" s="3">
        <f t="shared" si="15"/>
        <v>-1149722.80699</v>
      </c>
      <c r="S39" s="3">
        <f t="shared" si="15"/>
        <v>-316822</v>
      </c>
      <c r="T39" s="3">
        <f>SUM(T25:T26)</f>
        <v>-605603</v>
      </c>
      <c r="U39" s="3">
        <f>SUM(U25:U26)</f>
        <v>-908373</v>
      </c>
      <c r="V39" s="3">
        <f t="shared" ref="V39:AA39" si="16">+V26+V25</f>
        <v>-1213765</v>
      </c>
      <c r="W39" s="3">
        <f t="shared" si="16"/>
        <v>-351056</v>
      </c>
      <c r="X39" s="3">
        <f t="shared" si="16"/>
        <v>-682988</v>
      </c>
      <c r="Y39" s="3">
        <f t="shared" si="16"/>
        <v>-1109436</v>
      </c>
      <c r="Z39" s="3">
        <f t="shared" si="16"/>
        <v>-1545183</v>
      </c>
      <c r="AA39" s="3">
        <f t="shared" si="16"/>
        <v>-464566</v>
      </c>
      <c r="AE39" s="28"/>
      <c r="BB39" s="28"/>
      <c r="BC39" s="28"/>
      <c r="BE39" s="28"/>
      <c r="BF39" s="28"/>
      <c r="BG39" s="28"/>
    </row>
    <row r="40" spans="1:59">
      <c r="A40" s="69" t="s">
        <v>218</v>
      </c>
    </row>
    <row r="41" spans="1:59">
      <c r="A41" s="69" t="s">
        <v>348</v>
      </c>
      <c r="B41" s="53"/>
    </row>
    <row r="42" spans="1:59">
      <c r="A42" s="187" t="s">
        <v>221</v>
      </c>
      <c r="B42" s="187" t="s">
        <v>223</v>
      </c>
      <c r="C42" s="12">
        <v>5878</v>
      </c>
      <c r="D42" s="12">
        <v>5883</v>
      </c>
      <c r="E42" s="12">
        <v>6134</v>
      </c>
      <c r="F42" s="12">
        <v>6108</v>
      </c>
      <c r="G42" s="12">
        <v>6000</v>
      </c>
      <c r="H42" s="12">
        <v>5939</v>
      </c>
      <c r="I42" s="12">
        <v>5917</v>
      </c>
      <c r="J42" s="12">
        <v>5911</v>
      </c>
      <c r="K42" s="12">
        <v>5877</v>
      </c>
      <c r="L42" s="12">
        <v>5897</v>
      </c>
      <c r="M42" s="12">
        <v>5839</v>
      </c>
      <c r="N42" s="12">
        <v>5844</v>
      </c>
      <c r="O42" s="12">
        <v>5854</v>
      </c>
      <c r="P42" s="12">
        <v>5865</v>
      </c>
      <c r="Q42" s="12">
        <v>5852</v>
      </c>
      <c r="R42" s="12">
        <v>5830</v>
      </c>
      <c r="S42" s="12">
        <v>5848</v>
      </c>
      <c r="T42" s="12">
        <v>5846</v>
      </c>
      <c r="U42" s="12">
        <v>5950</v>
      </c>
      <c r="V42" s="12">
        <v>6132</v>
      </c>
      <c r="W42" s="12">
        <v>6183</v>
      </c>
      <c r="X42" s="12">
        <v>8550</v>
      </c>
      <c r="Y42" s="12">
        <v>8550</v>
      </c>
      <c r="Z42" s="12">
        <v>8464</v>
      </c>
      <c r="AA42" s="12">
        <v>8412</v>
      </c>
    </row>
    <row r="43" spans="1:59">
      <c r="A43" s="187" t="s">
        <v>222</v>
      </c>
      <c r="B43" s="187" t="s">
        <v>224</v>
      </c>
      <c r="C43" s="12">
        <v>435</v>
      </c>
      <c r="D43" s="12">
        <v>430</v>
      </c>
      <c r="E43" s="12">
        <v>426</v>
      </c>
      <c r="F43" s="12">
        <v>423</v>
      </c>
      <c r="G43" s="12">
        <v>418</v>
      </c>
      <c r="H43" s="12">
        <v>411</v>
      </c>
      <c r="I43" s="12">
        <v>410</v>
      </c>
      <c r="J43" s="12">
        <v>411</v>
      </c>
      <c r="K43" s="12">
        <v>406</v>
      </c>
      <c r="L43" s="12">
        <v>394</v>
      </c>
      <c r="M43" s="12">
        <v>381</v>
      </c>
      <c r="N43" s="12">
        <v>369</v>
      </c>
      <c r="O43" s="12">
        <v>365</v>
      </c>
      <c r="P43" s="12">
        <v>360</v>
      </c>
      <c r="Q43" s="12">
        <v>359</v>
      </c>
      <c r="R43" s="12">
        <v>355</v>
      </c>
      <c r="S43" s="12">
        <v>356</v>
      </c>
      <c r="T43" s="12">
        <v>359</v>
      </c>
      <c r="U43" s="12">
        <v>356</v>
      </c>
      <c r="V43" s="12">
        <v>361</v>
      </c>
      <c r="W43" s="12">
        <v>368</v>
      </c>
      <c r="X43" s="12">
        <v>839</v>
      </c>
      <c r="Y43" s="12">
        <v>839</v>
      </c>
      <c r="Z43" s="12">
        <v>830</v>
      </c>
      <c r="AA43" s="12">
        <v>799</v>
      </c>
      <c r="AB43" s="27"/>
    </row>
    <row r="44" spans="1:59">
      <c r="C44" s="69"/>
      <c r="D44" s="69"/>
      <c r="E44" s="69"/>
      <c r="F44" s="69"/>
      <c r="G44" s="69"/>
      <c r="H44" s="69"/>
      <c r="I44" s="69"/>
      <c r="J44" s="69"/>
      <c r="K44" s="69"/>
      <c r="L44" s="69"/>
      <c r="M44" s="69"/>
      <c r="N44" s="69"/>
      <c r="O44" s="159"/>
      <c r="P44" s="159"/>
      <c r="Q44" s="159"/>
      <c r="R44" s="159"/>
      <c r="S44" s="159"/>
      <c r="T44" s="159"/>
      <c r="U44" s="159"/>
      <c r="V44" s="159"/>
      <c r="W44" s="159"/>
      <c r="X44" s="159"/>
      <c r="Y44" s="159"/>
      <c r="Z44" s="159"/>
      <c r="AA44" s="159"/>
      <c r="AB44" s="69"/>
      <c r="AC44" s="69"/>
      <c r="AS44" s="28"/>
      <c r="AT44" s="28"/>
      <c r="AU44" s="28"/>
      <c r="AV44" s="28"/>
      <c r="AW44" s="28"/>
      <c r="AX44" s="28"/>
      <c r="AY44" s="28"/>
      <c r="AZ44" s="28"/>
      <c r="BA44" s="28"/>
    </row>
    <row r="45" spans="1:59">
      <c r="C45" s="69"/>
      <c r="D45" s="69"/>
      <c r="E45" s="69"/>
      <c r="F45" s="69"/>
      <c r="G45" s="69"/>
      <c r="H45" s="69"/>
      <c r="I45" s="69"/>
      <c r="J45" s="69"/>
      <c r="K45" s="69"/>
      <c r="L45" s="69"/>
      <c r="M45" s="69"/>
      <c r="N45" s="69"/>
      <c r="O45" s="159"/>
      <c r="P45" s="159"/>
      <c r="Q45" s="159"/>
      <c r="R45" s="159"/>
      <c r="S45" s="159"/>
      <c r="T45" s="159"/>
      <c r="U45" s="159"/>
      <c r="V45" s="159"/>
      <c r="W45" s="159"/>
      <c r="X45" s="159"/>
      <c r="Y45" s="159"/>
      <c r="Z45" s="159"/>
      <c r="AA45" s="159"/>
      <c r="AB45" s="69"/>
      <c r="AC45" s="69"/>
      <c r="AS45" s="28"/>
      <c r="AT45" s="28"/>
      <c r="AU45" s="28"/>
      <c r="AV45" s="28"/>
      <c r="AW45" s="28"/>
      <c r="AX45" s="28"/>
      <c r="AY45" s="28"/>
      <c r="AZ45" s="28"/>
      <c r="BA45" s="28"/>
    </row>
    <row r="46" spans="1:59">
      <c r="C46" s="69"/>
      <c r="D46" s="69"/>
      <c r="E46" s="69"/>
      <c r="F46" s="69"/>
      <c r="G46" s="69"/>
      <c r="H46" s="69"/>
      <c r="I46" s="69"/>
      <c r="J46" s="69"/>
      <c r="K46" s="69"/>
      <c r="L46" s="69"/>
      <c r="M46" s="69"/>
      <c r="N46" s="69"/>
      <c r="O46" s="159"/>
      <c r="P46" s="159"/>
      <c r="Q46" s="159"/>
      <c r="R46" s="159"/>
      <c r="S46" s="159"/>
      <c r="T46" s="159"/>
      <c r="U46" s="159"/>
      <c r="V46" s="159"/>
      <c r="W46" s="159"/>
      <c r="X46" s="159"/>
      <c r="Y46" s="159"/>
      <c r="Z46" s="159"/>
      <c r="AA46" s="159"/>
      <c r="AB46" s="69"/>
      <c r="AC46" s="69"/>
      <c r="AS46" s="28"/>
      <c r="AT46" s="28"/>
      <c r="AU46" s="28"/>
      <c r="AV46" s="28"/>
      <c r="AW46" s="28"/>
      <c r="AX46" s="28"/>
      <c r="AY46" s="28"/>
      <c r="AZ46" s="28"/>
      <c r="BA46" s="28"/>
    </row>
    <row r="47" spans="1:59">
      <c r="C47" s="69"/>
      <c r="D47" s="69"/>
      <c r="E47" s="69"/>
      <c r="F47" s="69"/>
      <c r="G47" s="69"/>
      <c r="H47" s="69"/>
      <c r="I47" s="69"/>
      <c r="J47" s="69"/>
      <c r="K47" s="69"/>
      <c r="L47" s="69"/>
      <c r="M47" s="69"/>
      <c r="N47" s="69"/>
      <c r="O47" s="159"/>
      <c r="P47" s="159"/>
      <c r="Q47" s="159"/>
      <c r="R47" s="159"/>
      <c r="S47" s="159"/>
      <c r="T47" s="159"/>
      <c r="U47" s="159"/>
      <c r="V47" s="159"/>
      <c r="W47" s="159"/>
      <c r="X47" s="159"/>
      <c r="Y47" s="159"/>
      <c r="Z47" s="159"/>
      <c r="AA47" s="159"/>
      <c r="AB47" s="69"/>
      <c r="AC47" s="69"/>
      <c r="AS47" s="28"/>
      <c r="AT47" s="28"/>
      <c r="AU47" s="28"/>
      <c r="AV47" s="28"/>
      <c r="AW47" s="28"/>
      <c r="AX47" s="28"/>
      <c r="AY47" s="28"/>
      <c r="AZ47" s="28"/>
      <c r="BA47" s="28"/>
    </row>
    <row r="48" spans="1:59">
      <c r="O48" s="55"/>
      <c r="P48" s="55"/>
      <c r="Q48" s="55"/>
      <c r="R48" s="55"/>
      <c r="S48" s="55"/>
      <c r="T48" s="55"/>
      <c r="U48" s="55"/>
      <c r="V48" s="55"/>
      <c r="W48" s="55"/>
      <c r="X48" s="55"/>
      <c r="Y48" s="55"/>
      <c r="Z48" s="55"/>
      <c r="AA48" s="55"/>
    </row>
    <row r="49" spans="15:16">
      <c r="O49" s="27"/>
      <c r="P49" s="27"/>
    </row>
  </sheetData>
  <pageMargins left="0.23622047244094491" right="0.23622047244094491" top="0.74803149606299213" bottom="0.74803149606299213" header="0.31496062992125984" footer="0.31496062992125984"/>
  <pageSetup paperSize="9" scale="57" orientation="landscape" r:id="rId1"/>
  <colBreaks count="1" manualBreakCount="1">
    <brk id="27"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4"/>
  <sheetViews>
    <sheetView zoomScale="90" zoomScaleNormal="90" workbookViewId="0">
      <selection activeCell="A2" sqref="A2"/>
    </sheetView>
  </sheetViews>
  <sheetFormatPr defaultColWidth="8.75" defaultRowHeight="12" outlineLevelCol="1"/>
  <cols>
    <col min="1" max="1" width="38.6640625" style="1" customWidth="1"/>
    <col min="2" max="2" width="41.08203125" style="1" customWidth="1"/>
    <col min="3" max="3" width="14.9140625" style="1" hidden="1" customWidth="1" outlineLevel="1"/>
    <col min="4" max="7" width="11.08203125" style="1" hidden="1" customWidth="1" outlineLevel="1"/>
    <col min="8" max="8" width="11.08203125" style="1" customWidth="1" collapsed="1"/>
    <col min="9" max="12" width="11.08203125" style="1" customWidth="1"/>
    <col min="13" max="13" width="8.75" style="1" customWidth="1"/>
    <col min="14" max="14" width="45.58203125" style="1" customWidth="1"/>
    <col min="15" max="15" width="12.08203125" style="1" customWidth="1"/>
    <col min="16" max="16" width="13.58203125" style="1" customWidth="1"/>
    <col min="17" max="17" width="10.9140625" style="1" customWidth="1"/>
    <col min="18" max="16384" width="8.75" style="1"/>
  </cols>
  <sheetData>
    <row r="1" spans="1:17" ht="15.5">
      <c r="A1" s="83" t="s">
        <v>188</v>
      </c>
    </row>
    <row r="2" spans="1:17" ht="15.5">
      <c r="A2" s="83" t="s">
        <v>499</v>
      </c>
    </row>
    <row r="3" spans="1:17" s="207" customFormat="1">
      <c r="A3" s="187" t="s">
        <v>522</v>
      </c>
      <c r="B3" s="187" t="s">
        <v>204</v>
      </c>
      <c r="C3" s="205" t="s">
        <v>284</v>
      </c>
      <c r="D3" s="205" t="s">
        <v>314</v>
      </c>
      <c r="E3" s="205" t="s">
        <v>367</v>
      </c>
      <c r="F3" s="205" t="s">
        <v>417</v>
      </c>
      <c r="G3" s="205" t="s">
        <v>420</v>
      </c>
      <c r="H3" s="205" t="s">
        <v>424</v>
      </c>
      <c r="I3" s="205" t="s">
        <v>435</v>
      </c>
      <c r="J3" s="205" t="s">
        <v>440</v>
      </c>
      <c r="K3" s="205" t="s">
        <v>446</v>
      </c>
      <c r="L3" s="205" t="s">
        <v>528</v>
      </c>
    </row>
    <row r="4" spans="1:17">
      <c r="A4" s="119" t="s">
        <v>315</v>
      </c>
      <c r="B4" s="119" t="s">
        <v>316</v>
      </c>
      <c r="C4" s="99">
        <v>2080151</v>
      </c>
      <c r="D4" s="99">
        <v>2881456</v>
      </c>
      <c r="E4" s="99">
        <v>2146680</v>
      </c>
      <c r="F4" s="99">
        <v>2237361</v>
      </c>
      <c r="G4" s="99">
        <v>2450176</v>
      </c>
      <c r="H4" s="99">
        <v>1736975</v>
      </c>
      <c r="I4" s="99">
        <v>3396000</v>
      </c>
      <c r="J4" s="99">
        <v>3197632</v>
      </c>
      <c r="K4" s="99">
        <v>2203444</v>
      </c>
      <c r="L4" s="99">
        <v>2477540</v>
      </c>
      <c r="Q4" s="28"/>
    </row>
    <row r="5" spans="1:17">
      <c r="A5" s="119" t="s">
        <v>317</v>
      </c>
      <c r="B5" s="119" t="s">
        <v>318</v>
      </c>
      <c r="C5" s="99">
        <v>531125</v>
      </c>
      <c r="D5" s="99">
        <v>1800461</v>
      </c>
      <c r="E5" s="99">
        <v>1410008</v>
      </c>
      <c r="F5" s="99">
        <v>1259804</v>
      </c>
      <c r="G5" s="99">
        <v>794718</v>
      </c>
      <c r="H5" s="99">
        <v>871558</v>
      </c>
      <c r="I5" s="99">
        <v>796927</v>
      </c>
      <c r="J5" s="99">
        <v>876246</v>
      </c>
      <c r="K5" s="99">
        <v>986728</v>
      </c>
      <c r="L5" s="99">
        <v>795572</v>
      </c>
      <c r="Q5" s="28"/>
    </row>
    <row r="6" spans="1:17" ht="48">
      <c r="A6" s="119" t="s">
        <v>392</v>
      </c>
      <c r="B6" s="119" t="s">
        <v>368</v>
      </c>
      <c r="C6" s="99">
        <v>0</v>
      </c>
      <c r="D6" s="99">
        <v>49717</v>
      </c>
      <c r="E6" s="99">
        <v>57444</v>
      </c>
      <c r="F6" s="99">
        <v>61604</v>
      </c>
      <c r="G6" s="99">
        <v>64796</v>
      </c>
      <c r="H6" s="99">
        <v>73778</v>
      </c>
      <c r="I6" s="99">
        <v>98082</v>
      </c>
      <c r="J6" s="99">
        <v>147875</v>
      </c>
      <c r="K6" s="99">
        <v>169610</v>
      </c>
      <c r="L6" s="99">
        <v>169610</v>
      </c>
      <c r="M6" s="27"/>
      <c r="Q6" s="28"/>
    </row>
    <row r="7" spans="1:17" ht="24">
      <c r="A7" s="119" t="s">
        <v>319</v>
      </c>
      <c r="B7" s="119" t="s">
        <v>320</v>
      </c>
      <c r="C7" s="99">
        <v>19066946</v>
      </c>
      <c r="D7" s="99">
        <v>18052112</v>
      </c>
      <c r="E7" s="99">
        <v>16967949</v>
      </c>
      <c r="F7" s="99">
        <v>16970243</v>
      </c>
      <c r="G7" s="99">
        <v>22133938</v>
      </c>
      <c r="H7" s="99">
        <v>22875843</v>
      </c>
      <c r="I7" s="99">
        <v>18725967</v>
      </c>
      <c r="J7" s="99">
        <v>21102026</v>
      </c>
      <c r="K7" s="99">
        <v>21870164</v>
      </c>
      <c r="L7" s="99">
        <v>22124985</v>
      </c>
    </row>
    <row r="8" spans="1:17" ht="42" customHeight="1">
      <c r="A8" s="119" t="s">
        <v>396</v>
      </c>
      <c r="B8" s="119" t="s">
        <v>395</v>
      </c>
      <c r="C8" s="99">
        <v>47411078</v>
      </c>
      <c r="D8" s="99">
        <v>47999657</v>
      </c>
      <c r="E8" s="99">
        <v>50255867</v>
      </c>
      <c r="F8" s="99">
        <v>50915176</v>
      </c>
      <c r="G8" s="99">
        <v>52711680</v>
      </c>
      <c r="H8" s="99">
        <v>53939776</v>
      </c>
      <c r="I8" s="99">
        <v>67855209</v>
      </c>
      <c r="J8" s="99">
        <v>69481058</v>
      </c>
      <c r="K8" s="99">
        <v>69754938</v>
      </c>
      <c r="L8" s="99">
        <v>72045583</v>
      </c>
      <c r="Q8" s="28"/>
    </row>
    <row r="9" spans="1:17" ht="24">
      <c r="A9" s="119" t="s">
        <v>393</v>
      </c>
      <c r="B9" s="119" t="s">
        <v>369</v>
      </c>
      <c r="C9" s="99">
        <f t="shared" ref="C9:H9" si="0">SUM(C10:C12)</f>
        <v>254205</v>
      </c>
      <c r="D9" s="99">
        <f t="shared" si="0"/>
        <v>637277</v>
      </c>
      <c r="E9" s="99">
        <f t="shared" si="0"/>
        <v>676243</v>
      </c>
      <c r="F9" s="99">
        <f t="shared" si="0"/>
        <v>645159</v>
      </c>
      <c r="G9" s="99">
        <f t="shared" si="0"/>
        <v>1026420</v>
      </c>
      <c r="H9" s="99">
        <f t="shared" si="0"/>
        <v>1256877</v>
      </c>
      <c r="I9" s="99">
        <f>SUM(I10:I12)</f>
        <v>842182</v>
      </c>
      <c r="J9" s="99">
        <f>SUM(J10:J12)</f>
        <v>1129766</v>
      </c>
      <c r="K9" s="99">
        <v>1037869</v>
      </c>
      <c r="L9" s="99">
        <f>SUM(L10:L12)</f>
        <v>2179225</v>
      </c>
      <c r="Q9" s="28"/>
    </row>
    <row r="10" spans="1:17">
      <c r="A10" s="120" t="s">
        <v>45</v>
      </c>
      <c r="B10" s="120" t="s">
        <v>321</v>
      </c>
      <c r="C10" s="99">
        <v>0</v>
      </c>
      <c r="D10" s="99">
        <v>48166</v>
      </c>
      <c r="E10" s="99">
        <v>47446</v>
      </c>
      <c r="F10" s="99">
        <v>50290</v>
      </c>
      <c r="G10" s="99">
        <v>44884</v>
      </c>
      <c r="H10" s="99">
        <v>45039</v>
      </c>
      <c r="I10" s="99">
        <v>56881</v>
      </c>
      <c r="J10" s="99">
        <v>55353</v>
      </c>
      <c r="K10" s="99">
        <v>48153</v>
      </c>
      <c r="L10" s="99">
        <v>48355</v>
      </c>
      <c r="Q10" s="28"/>
    </row>
    <row r="11" spans="1:17" ht="24">
      <c r="A11" s="120" t="s">
        <v>322</v>
      </c>
      <c r="B11" s="120" t="s">
        <v>323</v>
      </c>
      <c r="C11" s="99">
        <v>254205</v>
      </c>
      <c r="D11" s="99">
        <v>448155</v>
      </c>
      <c r="E11" s="99">
        <v>519950</v>
      </c>
      <c r="F11" s="99">
        <v>528384</v>
      </c>
      <c r="G11" s="99">
        <v>731252</v>
      </c>
      <c r="H11" s="99">
        <v>414429</v>
      </c>
      <c r="I11" s="99">
        <v>711642</v>
      </c>
      <c r="J11" s="99">
        <v>1023868</v>
      </c>
      <c r="K11" s="99">
        <v>784277</v>
      </c>
      <c r="L11" s="99">
        <v>2018927</v>
      </c>
      <c r="Q11" s="28"/>
    </row>
    <row r="12" spans="1:17">
      <c r="A12" s="120" t="s">
        <v>325</v>
      </c>
      <c r="B12" s="120" t="s">
        <v>326</v>
      </c>
      <c r="C12" s="99">
        <v>0</v>
      </c>
      <c r="D12" s="99">
        <v>140956</v>
      </c>
      <c r="E12" s="99">
        <v>108847</v>
      </c>
      <c r="F12" s="99">
        <v>66485</v>
      </c>
      <c r="G12" s="99">
        <v>250284</v>
      </c>
      <c r="H12" s="99">
        <v>797409</v>
      </c>
      <c r="I12" s="99">
        <v>73659</v>
      </c>
      <c r="J12" s="99">
        <v>50545</v>
      </c>
      <c r="K12" s="99">
        <v>205439</v>
      </c>
      <c r="L12" s="99">
        <v>111943</v>
      </c>
      <c r="Q12" s="28"/>
    </row>
    <row r="13" spans="1:17">
      <c r="A13" s="119" t="s">
        <v>508</v>
      </c>
      <c r="B13" s="119" t="s">
        <v>328</v>
      </c>
      <c r="C13" s="99">
        <v>885880</v>
      </c>
      <c r="D13" s="99">
        <v>516107</v>
      </c>
      <c r="E13" s="99">
        <v>166304</v>
      </c>
      <c r="F13" s="99">
        <v>192167</v>
      </c>
      <c r="G13" s="99">
        <v>125501</v>
      </c>
      <c r="H13" s="99">
        <v>87516</v>
      </c>
      <c r="I13" s="99">
        <v>99864</v>
      </c>
      <c r="J13" s="99">
        <v>8886</v>
      </c>
      <c r="K13" s="99">
        <v>43159</v>
      </c>
      <c r="L13" s="99">
        <v>22195</v>
      </c>
      <c r="Q13" s="28"/>
    </row>
    <row r="14" spans="1:17" ht="24">
      <c r="A14" s="119" t="s">
        <v>329</v>
      </c>
      <c r="B14" s="119" t="s">
        <v>330</v>
      </c>
      <c r="C14" s="99">
        <v>0</v>
      </c>
      <c r="D14" s="99">
        <v>0</v>
      </c>
      <c r="E14" s="99">
        <v>0</v>
      </c>
      <c r="F14" s="99">
        <v>0</v>
      </c>
      <c r="G14" s="99">
        <v>0</v>
      </c>
      <c r="H14" s="99">
        <v>0</v>
      </c>
      <c r="I14" s="99">
        <v>0</v>
      </c>
      <c r="J14" s="99">
        <v>0</v>
      </c>
      <c r="K14" s="99">
        <v>0</v>
      </c>
      <c r="L14" s="99">
        <v>0</v>
      </c>
      <c r="Q14" s="28"/>
    </row>
    <row r="15" spans="1:17">
      <c r="A15" s="119" t="s">
        <v>331</v>
      </c>
      <c r="B15" s="119" t="s">
        <v>125</v>
      </c>
      <c r="C15" s="99">
        <v>265636</v>
      </c>
      <c r="D15" s="99">
        <v>259513</v>
      </c>
      <c r="E15" s="99">
        <v>264462</v>
      </c>
      <c r="F15" s="99">
        <v>263983</v>
      </c>
      <c r="G15" s="99">
        <v>307105</v>
      </c>
      <c r="H15" s="99">
        <v>630743</v>
      </c>
      <c r="I15" s="99">
        <v>928228</v>
      </c>
      <c r="J15" s="99">
        <v>968451</v>
      </c>
      <c r="K15" s="99">
        <v>1008983</v>
      </c>
      <c r="L15" s="99">
        <v>972992</v>
      </c>
      <c r="Q15" s="28"/>
    </row>
    <row r="16" spans="1:17" ht="12.5" thickBot="1">
      <c r="A16" s="119" t="s">
        <v>332</v>
      </c>
      <c r="B16" s="119" t="s">
        <v>126</v>
      </c>
      <c r="C16" s="99">
        <v>646394</v>
      </c>
      <c r="D16" s="99">
        <v>812983</v>
      </c>
      <c r="E16" s="99">
        <v>720881</v>
      </c>
      <c r="F16" s="99">
        <v>862817</v>
      </c>
      <c r="G16" s="99">
        <v>844580</v>
      </c>
      <c r="H16" s="99">
        <v>833727</v>
      </c>
      <c r="I16" s="99">
        <v>927846</v>
      </c>
      <c r="J16" s="99">
        <v>1002195</v>
      </c>
      <c r="K16" s="99">
        <v>981047</v>
      </c>
      <c r="L16" s="99">
        <v>1143105</v>
      </c>
      <c r="Q16" s="28"/>
    </row>
    <row r="17" spans="1:17" ht="12.5" thickBot="1">
      <c r="A17" s="121" t="s">
        <v>40</v>
      </c>
      <c r="B17" s="121" t="s">
        <v>127</v>
      </c>
      <c r="C17" s="21">
        <f t="shared" ref="C17:H17" si="1">SUM(C4:C8,C9,C13:C16)</f>
        <v>71141415</v>
      </c>
      <c r="D17" s="21">
        <f t="shared" si="1"/>
        <v>73009283</v>
      </c>
      <c r="E17" s="21">
        <f t="shared" si="1"/>
        <v>72665838</v>
      </c>
      <c r="F17" s="21">
        <f t="shared" si="1"/>
        <v>73408314</v>
      </c>
      <c r="G17" s="21">
        <f t="shared" si="1"/>
        <v>80458914</v>
      </c>
      <c r="H17" s="21">
        <f t="shared" si="1"/>
        <v>82306793</v>
      </c>
      <c r="I17" s="21">
        <f>SUM(I4:I8,I9,I13:I16)</f>
        <v>93670305</v>
      </c>
      <c r="J17" s="21">
        <f>SUM(J4:J8,J9,J13:J16)</f>
        <v>97914135</v>
      </c>
      <c r="K17" s="21">
        <v>98055942</v>
      </c>
      <c r="L17" s="21">
        <f>SUM(L4:L9,L13:L16)</f>
        <v>101930807</v>
      </c>
      <c r="M17" s="28"/>
      <c r="Q17" s="28"/>
    </row>
    <row r="18" spans="1:17">
      <c r="O18" s="28"/>
    </row>
    <row r="19" spans="1:17">
      <c r="A19" s="28"/>
      <c r="B19" s="28"/>
      <c r="C19" s="28"/>
      <c r="D19" s="28"/>
      <c r="E19" s="28"/>
      <c r="F19" s="28"/>
      <c r="G19" s="28"/>
      <c r="H19" s="28"/>
      <c r="I19" s="28"/>
      <c r="J19" s="28"/>
      <c r="K19" s="28"/>
      <c r="L19" s="28"/>
      <c r="N19" s="27"/>
      <c r="O19" s="28"/>
    </row>
    <row r="20" spans="1:17" s="207" customFormat="1">
      <c r="A20" s="187" t="s">
        <v>523</v>
      </c>
      <c r="B20" s="187" t="s">
        <v>206</v>
      </c>
      <c r="C20" s="205" t="s">
        <v>284</v>
      </c>
      <c r="D20" s="205" t="s">
        <v>314</v>
      </c>
      <c r="E20" s="205" t="s">
        <v>367</v>
      </c>
      <c r="F20" s="205" t="s">
        <v>417</v>
      </c>
      <c r="G20" s="205" t="s">
        <v>420</v>
      </c>
      <c r="H20" s="205" t="s">
        <v>424</v>
      </c>
      <c r="I20" s="205" t="s">
        <v>435</v>
      </c>
      <c r="J20" s="205" t="s">
        <v>440</v>
      </c>
      <c r="K20" s="205" t="s">
        <v>446</v>
      </c>
      <c r="L20" s="205" t="s">
        <v>528</v>
      </c>
      <c r="O20" s="224"/>
    </row>
    <row r="21" spans="1:17">
      <c r="A21" s="122" t="s">
        <v>333</v>
      </c>
      <c r="B21" s="123" t="s">
        <v>334</v>
      </c>
      <c r="C21" s="22">
        <v>190111</v>
      </c>
      <c r="D21" s="22">
        <v>256708</v>
      </c>
      <c r="E21" s="22">
        <v>236119</v>
      </c>
      <c r="F21" s="22">
        <v>157516</v>
      </c>
      <c r="G21" s="22">
        <v>231633</v>
      </c>
      <c r="H21" s="22">
        <v>214804</v>
      </c>
      <c r="I21" s="22">
        <v>232231</v>
      </c>
      <c r="J21" s="22">
        <v>150169</v>
      </c>
      <c r="K21" s="22">
        <v>353000</v>
      </c>
      <c r="L21" s="22">
        <v>312949</v>
      </c>
      <c r="O21" s="28"/>
    </row>
    <row r="22" spans="1:17" ht="24">
      <c r="A22" s="122" t="s">
        <v>335</v>
      </c>
      <c r="B22" s="123" t="s">
        <v>336</v>
      </c>
      <c r="C22" s="22">
        <f t="shared" ref="C22:H22" si="2">SUM(C23:C27)</f>
        <v>61484830</v>
      </c>
      <c r="D22" s="22">
        <f t="shared" si="2"/>
        <v>63329416</v>
      </c>
      <c r="E22" s="22">
        <f t="shared" si="2"/>
        <v>62502145</v>
      </c>
      <c r="F22" s="22">
        <f t="shared" si="2"/>
        <v>63304899</v>
      </c>
      <c r="G22" s="22">
        <f t="shared" si="2"/>
        <v>69594512</v>
      </c>
      <c r="H22" s="22">
        <f t="shared" si="2"/>
        <v>71038795</v>
      </c>
      <c r="I22" s="22">
        <f>SUM(I23:I27)</f>
        <v>81873385</v>
      </c>
      <c r="J22" s="22">
        <f>SUM(J23:J27)</f>
        <v>85241599</v>
      </c>
      <c r="K22" s="22">
        <v>85853762</v>
      </c>
      <c r="L22" s="22">
        <f>SUM(L23:L27)</f>
        <v>88802162</v>
      </c>
      <c r="O22" s="28"/>
    </row>
    <row r="23" spans="1:17" ht="24">
      <c r="A23" s="124" t="s">
        <v>337</v>
      </c>
      <c r="B23" s="125" t="s">
        <v>338</v>
      </c>
      <c r="C23" s="22">
        <v>2353131</v>
      </c>
      <c r="D23" s="22">
        <v>1981886</v>
      </c>
      <c r="E23" s="22">
        <v>1165688</v>
      </c>
      <c r="F23" s="22">
        <v>1630516</v>
      </c>
      <c r="G23" s="22">
        <v>1788857</v>
      </c>
      <c r="H23" s="22">
        <v>1868210</v>
      </c>
      <c r="I23" s="22">
        <v>1908263</v>
      </c>
      <c r="J23" s="22">
        <v>1756132</v>
      </c>
      <c r="K23" s="22">
        <v>1578848</v>
      </c>
      <c r="L23" s="22">
        <v>1516541</v>
      </c>
      <c r="O23" s="28"/>
    </row>
    <row r="24" spans="1:17">
      <c r="A24" s="124" t="s">
        <v>339</v>
      </c>
      <c r="B24" s="125" t="s">
        <v>129</v>
      </c>
      <c r="C24" s="22">
        <v>57273255</v>
      </c>
      <c r="D24" s="22">
        <v>59473880</v>
      </c>
      <c r="E24" s="22">
        <v>59831479</v>
      </c>
      <c r="F24" s="22">
        <v>60222668</v>
      </c>
      <c r="G24" s="22">
        <v>66243769</v>
      </c>
      <c r="H24" s="22">
        <v>66672620</v>
      </c>
      <c r="I24" s="22">
        <v>76827811</v>
      </c>
      <c r="J24" s="22">
        <v>80341143</v>
      </c>
      <c r="K24" s="22">
        <v>81454765</v>
      </c>
      <c r="L24" s="22">
        <v>83583600</v>
      </c>
      <c r="O24" s="28"/>
    </row>
    <row r="25" spans="1:17">
      <c r="A25" s="124" t="s">
        <v>325</v>
      </c>
      <c r="B25" s="125" t="s">
        <v>326</v>
      </c>
      <c r="C25" s="22">
        <v>0</v>
      </c>
      <c r="D25" s="22">
        <v>0</v>
      </c>
      <c r="E25" s="22">
        <v>94285</v>
      </c>
      <c r="F25" s="22">
        <v>11272</v>
      </c>
      <c r="G25" s="22">
        <v>50324</v>
      </c>
      <c r="H25" s="22">
        <v>55759</v>
      </c>
      <c r="I25" s="22">
        <v>20990</v>
      </c>
      <c r="J25" s="22">
        <v>52036</v>
      </c>
      <c r="K25" s="22">
        <v>90712</v>
      </c>
      <c r="L25" s="22">
        <v>1056303</v>
      </c>
      <c r="O25" s="28"/>
    </row>
    <row r="26" spans="1:17">
      <c r="A26" s="124" t="s">
        <v>340</v>
      </c>
      <c r="B26" s="125" t="s">
        <v>341</v>
      </c>
      <c r="C26" s="22">
        <v>1156473</v>
      </c>
      <c r="D26" s="22">
        <v>1164585</v>
      </c>
      <c r="E26" s="22">
        <v>708893</v>
      </c>
      <c r="F26" s="22">
        <v>731445</v>
      </c>
      <c r="G26" s="22">
        <v>809679</v>
      </c>
      <c r="H26" s="22">
        <v>897591</v>
      </c>
      <c r="I26" s="22">
        <v>1469990</v>
      </c>
      <c r="J26" s="22">
        <v>1447129</v>
      </c>
      <c r="K26" s="22">
        <v>1183232</v>
      </c>
      <c r="L26" s="22">
        <v>1101040</v>
      </c>
      <c r="O26" s="28"/>
    </row>
    <row r="27" spans="1:17">
      <c r="A27" s="124" t="s">
        <v>48</v>
      </c>
      <c r="B27" s="125" t="s">
        <v>134</v>
      </c>
      <c r="C27" s="22">
        <v>701971</v>
      </c>
      <c r="D27" s="22">
        <v>709065</v>
      </c>
      <c r="E27" s="22">
        <v>701800</v>
      </c>
      <c r="F27" s="22">
        <v>708998</v>
      </c>
      <c r="G27" s="22">
        <v>701883</v>
      </c>
      <c r="H27" s="22">
        <v>1544615</v>
      </c>
      <c r="I27" s="22">
        <v>1646331</v>
      </c>
      <c r="J27" s="22">
        <v>1645159</v>
      </c>
      <c r="K27" s="22">
        <v>1546205</v>
      </c>
      <c r="L27" s="22">
        <v>1544678</v>
      </c>
      <c r="O27" s="28"/>
    </row>
    <row r="28" spans="1:17">
      <c r="A28" s="122" t="s">
        <v>327</v>
      </c>
      <c r="B28" s="123" t="s">
        <v>328</v>
      </c>
      <c r="C28" s="22">
        <v>176853</v>
      </c>
      <c r="D28" s="22">
        <v>193014</v>
      </c>
      <c r="E28" s="22">
        <v>506560</v>
      </c>
      <c r="F28" s="22">
        <v>358955</v>
      </c>
      <c r="G28" s="22">
        <v>376811</v>
      </c>
      <c r="H28" s="22">
        <v>367337</v>
      </c>
      <c r="I28" s="22">
        <v>339276</v>
      </c>
      <c r="J28" s="22">
        <v>677936</v>
      </c>
      <c r="K28" s="22">
        <v>426847</v>
      </c>
      <c r="L28" s="22">
        <v>1277724</v>
      </c>
      <c r="O28" s="28"/>
    </row>
    <row r="29" spans="1:17">
      <c r="A29" s="122" t="s">
        <v>342</v>
      </c>
      <c r="B29" s="123" t="s">
        <v>343</v>
      </c>
      <c r="C29" s="22">
        <v>67752</v>
      </c>
      <c r="D29" s="22">
        <v>103718</v>
      </c>
      <c r="E29" s="22">
        <v>116115</v>
      </c>
      <c r="F29" s="22">
        <v>120132</v>
      </c>
      <c r="G29" s="22">
        <v>112452</v>
      </c>
      <c r="H29" s="22">
        <v>104881</v>
      </c>
      <c r="I29" s="22">
        <v>108335</v>
      </c>
      <c r="J29" s="22">
        <v>111059</v>
      </c>
      <c r="K29" s="22">
        <v>304726</v>
      </c>
      <c r="L29" s="22">
        <v>272166</v>
      </c>
      <c r="O29" s="28"/>
    </row>
    <row r="30" spans="1:17" ht="12.5" thickBot="1">
      <c r="A30" s="122" t="s">
        <v>344</v>
      </c>
      <c r="B30" s="123" t="s">
        <v>133</v>
      </c>
      <c r="C30" s="22">
        <v>1449270</v>
      </c>
      <c r="D30" s="22">
        <v>1394490</v>
      </c>
      <c r="E30" s="22">
        <v>1397199</v>
      </c>
      <c r="F30" s="22">
        <v>1355412</v>
      </c>
      <c r="G30" s="22">
        <v>1759120</v>
      </c>
      <c r="H30" s="22">
        <v>2063784</v>
      </c>
      <c r="I30" s="22">
        <v>2412881</v>
      </c>
      <c r="J30" s="22">
        <v>2811936</v>
      </c>
      <c r="K30" s="22">
        <v>2176088</v>
      </c>
      <c r="L30" s="22">
        <v>2250310</v>
      </c>
      <c r="O30" s="28"/>
    </row>
    <row r="31" spans="1:17" ht="12.5" thickBot="1">
      <c r="A31" s="121" t="s">
        <v>49</v>
      </c>
      <c r="B31" s="126" t="s">
        <v>135</v>
      </c>
      <c r="C31" s="25">
        <f t="shared" ref="C31:H31" si="3">SUM(C21:C22,C28:C30)</f>
        <v>63368816</v>
      </c>
      <c r="D31" s="25">
        <f t="shared" si="3"/>
        <v>65277346</v>
      </c>
      <c r="E31" s="25">
        <f t="shared" si="3"/>
        <v>64758138</v>
      </c>
      <c r="F31" s="25">
        <f t="shared" si="3"/>
        <v>65296914</v>
      </c>
      <c r="G31" s="25">
        <f t="shared" si="3"/>
        <v>72074528</v>
      </c>
      <c r="H31" s="25">
        <f t="shared" si="3"/>
        <v>73789601</v>
      </c>
      <c r="I31" s="25">
        <f>SUM(I21:I22,I28:I30)</f>
        <v>84966108</v>
      </c>
      <c r="J31" s="25">
        <f>SUM(J21:J22,J28:J30)</f>
        <v>88992699</v>
      </c>
      <c r="K31" s="25">
        <v>89114423</v>
      </c>
      <c r="L31" s="25">
        <f>SUM(L21:L22,L28:L30)</f>
        <v>92915311</v>
      </c>
      <c r="O31" s="28"/>
    </row>
    <row r="32" spans="1:17">
      <c r="A32" s="127" t="s">
        <v>50</v>
      </c>
      <c r="B32" s="128" t="s">
        <v>136</v>
      </c>
      <c r="C32" s="26"/>
      <c r="D32" s="26"/>
      <c r="E32" s="26"/>
      <c r="F32" s="26"/>
      <c r="G32" s="26"/>
      <c r="H32" s="26"/>
      <c r="I32" s="26"/>
      <c r="J32" s="26"/>
      <c r="K32" s="26"/>
      <c r="L32" s="26"/>
      <c r="O32" s="28"/>
    </row>
    <row r="33" spans="1:15">
      <c r="A33" s="119" t="s">
        <v>345</v>
      </c>
      <c r="B33" s="129" t="s">
        <v>137</v>
      </c>
      <c r="C33" s="24">
        <v>1213117</v>
      </c>
      <c r="D33" s="24">
        <v>1213117</v>
      </c>
      <c r="E33" s="24">
        <v>1213117</v>
      </c>
      <c r="F33" s="24">
        <v>1213117</v>
      </c>
      <c r="G33" s="24">
        <v>1213117</v>
      </c>
      <c r="H33" s="24">
        <v>1213117</v>
      </c>
      <c r="I33" s="24">
        <v>1213117</v>
      </c>
      <c r="J33" s="24">
        <v>1213117</v>
      </c>
      <c r="K33" s="24">
        <v>1213117</v>
      </c>
      <c r="L33" s="24">
        <v>1213117</v>
      </c>
      <c r="O33" s="28"/>
    </row>
    <row r="34" spans="1:15">
      <c r="A34" s="119" t="s">
        <v>52</v>
      </c>
      <c r="B34" s="129" t="s">
        <v>138</v>
      </c>
      <c r="C34" s="24">
        <v>1147502</v>
      </c>
      <c r="D34" s="24">
        <v>1147502</v>
      </c>
      <c r="E34" s="24">
        <v>1147502</v>
      </c>
      <c r="F34" s="24">
        <v>1147502</v>
      </c>
      <c r="G34" s="24">
        <v>1147502</v>
      </c>
      <c r="H34" s="24">
        <v>1147502</v>
      </c>
      <c r="I34" s="24">
        <v>1147502</v>
      </c>
      <c r="J34" s="24">
        <v>1147502</v>
      </c>
      <c r="K34" s="24">
        <v>1147502</v>
      </c>
      <c r="L34" s="24">
        <v>1147502</v>
      </c>
      <c r="O34" s="28"/>
    </row>
    <row r="35" spans="1:15">
      <c r="A35" s="119" t="s">
        <v>346</v>
      </c>
      <c r="B35" s="129" t="s">
        <v>347</v>
      </c>
      <c r="C35" s="24">
        <v>-34795</v>
      </c>
      <c r="D35" s="24">
        <v>26618</v>
      </c>
      <c r="E35" s="24">
        <v>9712</v>
      </c>
      <c r="F35" s="24">
        <v>13223</v>
      </c>
      <c r="G35" s="24">
        <v>73692</v>
      </c>
      <c r="H35" s="24">
        <v>46532</v>
      </c>
      <c r="I35" s="24">
        <v>59880</v>
      </c>
      <c r="J35" s="24">
        <v>76979</v>
      </c>
      <c r="K35" s="24">
        <v>70093</v>
      </c>
      <c r="L35" s="24">
        <v>125941</v>
      </c>
      <c r="O35" s="28"/>
    </row>
    <row r="36" spans="1:15">
      <c r="A36" s="119" t="s">
        <v>54</v>
      </c>
      <c r="B36" s="129" t="s">
        <v>140</v>
      </c>
      <c r="C36" s="24">
        <v>5446775</v>
      </c>
      <c r="D36" s="24">
        <v>5344700</v>
      </c>
      <c r="E36" s="24">
        <v>5537369</v>
      </c>
      <c r="F36" s="24">
        <v>5737558</v>
      </c>
      <c r="G36" s="24">
        <v>5950075</v>
      </c>
      <c r="H36" s="24">
        <v>6110041</v>
      </c>
      <c r="I36" s="24">
        <v>6283698</v>
      </c>
      <c r="J36" s="24">
        <v>6483838</v>
      </c>
      <c r="K36" s="24">
        <v>6510807</v>
      </c>
      <c r="L36" s="24">
        <v>6528936</v>
      </c>
    </row>
    <row r="37" spans="1:15" ht="24">
      <c r="A37" s="119" t="s">
        <v>55</v>
      </c>
      <c r="B37" s="129" t="s">
        <v>141</v>
      </c>
      <c r="C37" s="24">
        <v>7772599</v>
      </c>
      <c r="D37" s="24">
        <f>SUM(D33:D36)</f>
        <v>7731937</v>
      </c>
      <c r="E37" s="24">
        <f>SUM(E33:E36)</f>
        <v>7907700</v>
      </c>
      <c r="F37" s="24">
        <f>SUM(F33:F36)</f>
        <v>8111400</v>
      </c>
      <c r="G37" s="24">
        <v>8384386</v>
      </c>
      <c r="H37" s="24">
        <v>8517192</v>
      </c>
      <c r="I37" s="24">
        <f>+I36+I35+I34+I33</f>
        <v>8704197</v>
      </c>
      <c r="J37" s="24">
        <f>+J36+J35+J34+J33</f>
        <v>8921436</v>
      </c>
      <c r="K37" s="24">
        <v>8941519</v>
      </c>
      <c r="L37" s="24">
        <f>SUM(L33:L36)</f>
        <v>9015496</v>
      </c>
      <c r="O37" s="28"/>
    </row>
    <row r="38" spans="1:15" ht="12.5" thickBot="1">
      <c r="A38" s="119" t="s">
        <v>19</v>
      </c>
      <c r="B38" s="129" t="s">
        <v>142</v>
      </c>
      <c r="C38" s="24">
        <v>0</v>
      </c>
      <c r="D38" s="24">
        <v>0</v>
      </c>
      <c r="E38" s="24">
        <v>0</v>
      </c>
      <c r="F38" s="24">
        <v>0</v>
      </c>
      <c r="G38" s="24">
        <v>0</v>
      </c>
      <c r="H38" s="24">
        <v>0</v>
      </c>
      <c r="I38" s="24">
        <v>0</v>
      </c>
      <c r="J38" s="24">
        <v>0</v>
      </c>
      <c r="K38" s="24">
        <v>0</v>
      </c>
      <c r="L38" s="24">
        <v>0</v>
      </c>
      <c r="O38" s="28"/>
    </row>
    <row r="39" spans="1:15" ht="12.5" thickBot="1">
      <c r="A39" s="121" t="s">
        <v>56</v>
      </c>
      <c r="B39" s="126" t="s">
        <v>143</v>
      </c>
      <c r="C39" s="25">
        <f t="shared" ref="C39:H39" si="4">+C38+C37</f>
        <v>7772599</v>
      </c>
      <c r="D39" s="25">
        <f t="shared" si="4"/>
        <v>7731937</v>
      </c>
      <c r="E39" s="25">
        <f t="shared" si="4"/>
        <v>7907700</v>
      </c>
      <c r="F39" s="25">
        <f t="shared" si="4"/>
        <v>8111400</v>
      </c>
      <c r="G39" s="25">
        <f t="shared" si="4"/>
        <v>8384386</v>
      </c>
      <c r="H39" s="25">
        <f t="shared" si="4"/>
        <v>8517192</v>
      </c>
      <c r="I39" s="25">
        <f>+I38+I37</f>
        <v>8704197</v>
      </c>
      <c r="J39" s="25">
        <f>+J38+J37</f>
        <v>8921436</v>
      </c>
      <c r="K39" s="25">
        <v>8941519</v>
      </c>
      <c r="L39" s="25">
        <f>+L38+L37</f>
        <v>9015496</v>
      </c>
      <c r="O39" s="28"/>
    </row>
    <row r="40" spans="1:15" ht="12.5" thickBot="1">
      <c r="A40" s="121" t="s">
        <v>57</v>
      </c>
      <c r="B40" s="126" t="s">
        <v>144</v>
      </c>
      <c r="C40" s="21">
        <f t="shared" ref="C40:H40" si="5">+C39+C31</f>
        <v>71141415</v>
      </c>
      <c r="D40" s="21">
        <f t="shared" si="5"/>
        <v>73009283</v>
      </c>
      <c r="E40" s="21">
        <f t="shared" si="5"/>
        <v>72665838</v>
      </c>
      <c r="F40" s="21">
        <f t="shared" si="5"/>
        <v>73408314</v>
      </c>
      <c r="G40" s="21">
        <f t="shared" si="5"/>
        <v>80458914</v>
      </c>
      <c r="H40" s="21">
        <f t="shared" si="5"/>
        <v>82306793</v>
      </c>
      <c r="I40" s="21">
        <f>+I39+I31</f>
        <v>93670305</v>
      </c>
      <c r="J40" s="21">
        <f>+J39+J31</f>
        <v>97914135</v>
      </c>
      <c r="K40" s="21">
        <v>98055942</v>
      </c>
      <c r="L40" s="21">
        <f>+L39+L31</f>
        <v>101930807</v>
      </c>
      <c r="O40" s="28"/>
    </row>
    <row r="41" spans="1:15">
      <c r="C41" s="28"/>
      <c r="D41" s="28"/>
      <c r="E41" s="28"/>
      <c r="F41" s="28"/>
      <c r="G41" s="28"/>
      <c r="H41" s="28"/>
      <c r="I41" s="28"/>
      <c r="J41" s="28"/>
      <c r="K41" s="28"/>
      <c r="L41" s="28"/>
      <c r="O41" s="28"/>
    </row>
    <row r="42" spans="1:15">
      <c r="O42" s="28"/>
    </row>
    <row r="44" spans="1:15">
      <c r="E44" s="28"/>
      <c r="F44" s="28"/>
      <c r="G44" s="28"/>
      <c r="H44" s="28"/>
      <c r="I44" s="28"/>
      <c r="J44" s="28"/>
      <c r="K44" s="28"/>
      <c r="L44" s="28"/>
    </row>
  </sheetData>
  <pageMargins left="0.51181102362204722" right="0.51181102362204722" top="0.55118110236220474" bottom="0.55118110236220474" header="0.31496062992125984" footer="0.31496062992125984"/>
  <pageSetup paperSize="9" scale="8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90"/>
  <sheetViews>
    <sheetView zoomScale="90" zoomScaleNormal="90" workbookViewId="0">
      <pane xSplit="2" ySplit="5" topLeftCell="C6" activePane="bottomRight" state="frozen"/>
      <selection pane="topRight" activeCell="C1" sqref="C1"/>
      <selection pane="bottomLeft" activeCell="A6" sqref="A6"/>
      <selection pane="bottomRight"/>
    </sheetView>
  </sheetViews>
  <sheetFormatPr defaultColWidth="8.75" defaultRowHeight="12" outlineLevelCol="1"/>
  <cols>
    <col min="1" max="1" width="30.08203125" style="1" customWidth="1"/>
    <col min="2" max="2" width="33.08203125" style="1" customWidth="1"/>
    <col min="3" max="3" width="10.75" style="1" hidden="1" customWidth="1"/>
    <col min="4" max="4" width="10.33203125" style="1" hidden="1" customWidth="1"/>
    <col min="5" max="5" width="10" style="1" hidden="1" customWidth="1"/>
    <col min="6" max="6" width="12.25" style="1" hidden="1" customWidth="1"/>
    <col min="7" max="7" width="12.25" style="1" hidden="1" customWidth="1" collapsed="1"/>
    <col min="8" max="9" width="11.33203125" style="1" hidden="1" customWidth="1"/>
    <col min="10" max="10" width="12.25" style="1" hidden="1" customWidth="1"/>
    <col min="11" max="17" width="11.25" style="1" hidden="1" customWidth="1"/>
    <col min="18" max="18" width="11.25" style="1" hidden="1" customWidth="1" outlineLevel="1"/>
    <col min="19" max="19" width="12.9140625" style="1" hidden="1" customWidth="1" outlineLevel="1"/>
    <col min="20" max="21" width="11.25" style="1" hidden="1" customWidth="1" outlineLevel="1"/>
    <col min="22" max="22" width="11.25" style="1" customWidth="1" collapsed="1"/>
    <col min="23" max="27" width="11.25" style="1" customWidth="1"/>
    <col min="28" max="28" width="11" style="1" customWidth="1"/>
    <col min="29" max="29" width="15.9140625" style="1" customWidth="1"/>
    <col min="30" max="30" width="9.4140625" style="1" customWidth="1"/>
    <col min="31" max="32" width="11.25" style="1" customWidth="1"/>
    <col min="33" max="33" width="12.33203125" style="1" customWidth="1"/>
    <col min="34" max="34" width="12.6640625" style="1" customWidth="1"/>
    <col min="35" max="16384" width="8.75" style="1"/>
  </cols>
  <sheetData>
    <row r="1" spans="1:31" ht="15.5">
      <c r="A1" s="83" t="s">
        <v>501</v>
      </c>
      <c r="S1" s="28"/>
      <c r="T1" s="28"/>
      <c r="U1" s="28"/>
      <c r="V1" s="28"/>
      <c r="W1" s="28"/>
      <c r="X1" s="28"/>
      <c r="Y1" s="28"/>
      <c r="Z1" s="28"/>
    </row>
    <row r="2" spans="1:31" ht="15.5">
      <c r="A2" s="83" t="s">
        <v>500</v>
      </c>
      <c r="S2" s="28"/>
      <c r="T2" s="28"/>
      <c r="U2" s="28"/>
      <c r="V2" s="28"/>
      <c r="W2" s="28"/>
      <c r="X2" s="28"/>
      <c r="Y2" s="28"/>
      <c r="Z2" s="28"/>
    </row>
    <row r="3" spans="1:31" ht="15.5">
      <c r="A3" s="83" t="s">
        <v>23</v>
      </c>
      <c r="B3" s="83" t="s">
        <v>172</v>
      </c>
      <c r="S3" s="28"/>
      <c r="T3" s="28"/>
      <c r="U3" s="28"/>
      <c r="V3" s="28"/>
      <c r="W3" s="28"/>
      <c r="X3" s="233"/>
      <c r="Y3" s="233"/>
      <c r="Z3" s="233"/>
    </row>
    <row r="4" spans="1:31" ht="15.5">
      <c r="A4" s="83"/>
      <c r="B4" s="83"/>
      <c r="S4" s="28"/>
      <c r="T4" s="28"/>
      <c r="U4" s="28"/>
      <c r="V4" s="28"/>
      <c r="W4" s="28"/>
      <c r="X4" s="28"/>
      <c r="Y4" s="28"/>
      <c r="Z4" s="28"/>
    </row>
    <row r="5" spans="1:31" ht="24">
      <c r="A5" s="187" t="s">
        <v>524</v>
      </c>
      <c r="B5" s="187" t="s">
        <v>509</v>
      </c>
      <c r="C5" s="102" t="s">
        <v>190</v>
      </c>
      <c r="D5" s="102" t="s">
        <v>193</v>
      </c>
      <c r="E5" s="102" t="s">
        <v>198</v>
      </c>
      <c r="F5" s="102" t="s">
        <v>214</v>
      </c>
      <c r="G5" s="102" t="s">
        <v>220</v>
      </c>
      <c r="H5" s="102" t="s">
        <v>236</v>
      </c>
      <c r="I5" s="102" t="s">
        <v>241</v>
      </c>
      <c r="J5" s="102" t="s">
        <v>244</v>
      </c>
      <c r="K5" s="102" t="s">
        <v>246</v>
      </c>
      <c r="L5" s="102" t="s">
        <v>254</v>
      </c>
      <c r="M5" s="102" t="s">
        <v>255</v>
      </c>
      <c r="N5" s="102" t="s">
        <v>261</v>
      </c>
      <c r="O5" s="102" t="s">
        <v>263</v>
      </c>
      <c r="P5" s="102" t="s">
        <v>274</v>
      </c>
      <c r="Q5" s="102" t="s">
        <v>279</v>
      </c>
      <c r="R5" s="102" t="s">
        <v>284</v>
      </c>
      <c r="S5" s="206" t="s">
        <v>314</v>
      </c>
      <c r="T5" s="206" t="s">
        <v>367</v>
      </c>
      <c r="U5" s="206" t="s">
        <v>417</v>
      </c>
      <c r="V5" s="206" t="s">
        <v>420</v>
      </c>
      <c r="W5" s="206" t="s">
        <v>424</v>
      </c>
      <c r="X5" s="206" t="s">
        <v>435</v>
      </c>
      <c r="Y5" s="206" t="s">
        <v>440</v>
      </c>
      <c r="Z5" s="206" t="s">
        <v>446</v>
      </c>
      <c r="AA5" s="206" t="s">
        <v>528</v>
      </c>
    </row>
    <row r="6" spans="1:31">
      <c r="A6" s="184" t="s">
        <v>89</v>
      </c>
      <c r="B6" s="184" t="s">
        <v>178</v>
      </c>
      <c r="C6" s="129"/>
      <c r="D6" s="129"/>
      <c r="E6" s="129"/>
      <c r="F6" s="129"/>
      <c r="G6" s="129"/>
      <c r="H6" s="129"/>
      <c r="I6" s="129"/>
      <c r="J6" s="129"/>
      <c r="K6" s="129"/>
      <c r="L6" s="129"/>
      <c r="M6" s="129"/>
      <c r="N6" s="129"/>
      <c r="O6" s="129"/>
      <c r="P6" s="129"/>
      <c r="Q6" s="129"/>
      <c r="R6" s="129"/>
      <c r="S6" s="129">
        <f t="shared" ref="S6:AA6" si="0">SUM(S7:S8)</f>
        <v>33520677</v>
      </c>
      <c r="T6" s="129">
        <f t="shared" si="0"/>
        <v>33791034</v>
      </c>
      <c r="U6" s="129">
        <f t="shared" si="0"/>
        <v>34291606</v>
      </c>
      <c r="V6" s="129">
        <f t="shared" si="0"/>
        <v>35096046</v>
      </c>
      <c r="W6" s="129">
        <f t="shared" si="0"/>
        <v>35822471</v>
      </c>
      <c r="X6" s="129">
        <f t="shared" si="0"/>
        <v>49384114</v>
      </c>
      <c r="Y6" s="129">
        <f t="shared" si="0"/>
        <v>51026906</v>
      </c>
      <c r="Z6" s="129">
        <f t="shared" si="0"/>
        <v>51017274</v>
      </c>
      <c r="AA6" s="129">
        <f t="shared" si="0"/>
        <v>53003054</v>
      </c>
    </row>
    <row r="7" spans="1:31">
      <c r="A7" s="184" t="s">
        <v>85</v>
      </c>
      <c r="B7" s="184" t="s">
        <v>179</v>
      </c>
      <c r="C7" s="129"/>
      <c r="D7" s="129"/>
      <c r="E7" s="129"/>
      <c r="F7" s="129"/>
      <c r="G7" s="129"/>
      <c r="H7" s="129"/>
      <c r="I7" s="129"/>
      <c r="J7" s="129"/>
      <c r="K7" s="129"/>
      <c r="L7" s="129"/>
      <c r="M7" s="129"/>
      <c r="N7" s="129"/>
      <c r="O7" s="129"/>
      <c r="P7" s="129"/>
      <c r="Q7" s="129"/>
      <c r="R7" s="129"/>
      <c r="S7" s="129">
        <v>26395261</v>
      </c>
      <c r="T7" s="129">
        <v>27500015</v>
      </c>
      <c r="U7" s="129">
        <v>27775690</v>
      </c>
      <c r="V7" s="129">
        <v>28319185</v>
      </c>
      <c r="W7" s="129">
        <v>28739026</v>
      </c>
      <c r="X7" s="129">
        <v>35347859</v>
      </c>
      <c r="Y7" s="129">
        <v>36574200</v>
      </c>
      <c r="Z7" s="129">
        <v>36571683</v>
      </c>
      <c r="AA7" s="129">
        <v>38407442</v>
      </c>
    </row>
    <row r="8" spans="1:31">
      <c r="A8" s="184" t="s">
        <v>86</v>
      </c>
      <c r="B8" s="184" t="s">
        <v>180</v>
      </c>
      <c r="C8" s="129"/>
      <c r="D8" s="129"/>
      <c r="E8" s="129"/>
      <c r="F8" s="129"/>
      <c r="G8" s="129"/>
      <c r="H8" s="129"/>
      <c r="I8" s="129"/>
      <c r="J8" s="129"/>
      <c r="K8" s="129"/>
      <c r="L8" s="129"/>
      <c r="M8" s="129"/>
      <c r="N8" s="129"/>
      <c r="O8" s="129"/>
      <c r="P8" s="129"/>
      <c r="Q8" s="129"/>
      <c r="R8" s="129"/>
      <c r="S8" s="129">
        <v>7125416</v>
      </c>
      <c r="T8" s="129">
        <v>6291019</v>
      </c>
      <c r="U8" s="129">
        <v>6515916</v>
      </c>
      <c r="V8" s="129">
        <v>6776861</v>
      </c>
      <c r="W8" s="129">
        <v>7083445</v>
      </c>
      <c r="X8" s="129">
        <v>14036255</v>
      </c>
      <c r="Y8" s="129">
        <v>14452706</v>
      </c>
      <c r="Z8" s="129">
        <v>14445591</v>
      </c>
      <c r="AA8" s="129">
        <v>14595612</v>
      </c>
    </row>
    <row r="9" spans="1:31">
      <c r="A9" s="184" t="s">
        <v>226</v>
      </c>
      <c r="B9" s="184" t="s">
        <v>181</v>
      </c>
      <c r="C9" s="129"/>
      <c r="D9" s="129"/>
      <c r="E9" s="129"/>
      <c r="F9" s="129"/>
      <c r="G9" s="129"/>
      <c r="H9" s="129"/>
      <c r="I9" s="129"/>
      <c r="J9" s="129"/>
      <c r="K9" s="129"/>
      <c r="L9" s="129"/>
      <c r="M9" s="129"/>
      <c r="N9" s="129"/>
      <c r="O9" s="129"/>
      <c r="P9" s="129"/>
      <c r="Q9" s="129"/>
      <c r="R9" s="129"/>
      <c r="S9" s="129">
        <f t="shared" ref="S9:AA9" si="1">SUM(S10:S11)</f>
        <v>16313065</v>
      </c>
      <c r="T9" s="129">
        <f t="shared" si="1"/>
        <v>17116248</v>
      </c>
      <c r="U9" s="129">
        <f t="shared" si="1"/>
        <v>17211791</v>
      </c>
      <c r="V9" s="129">
        <f t="shared" si="1"/>
        <v>18123976</v>
      </c>
      <c r="W9" s="129">
        <f t="shared" si="1"/>
        <v>18606982</v>
      </c>
      <c r="X9" s="129">
        <f t="shared" si="1"/>
        <v>18927299</v>
      </c>
      <c r="Y9" s="129">
        <f t="shared" si="1"/>
        <v>18903911</v>
      </c>
      <c r="Z9" s="129">
        <f t="shared" si="1"/>
        <v>19201087</v>
      </c>
      <c r="AA9" s="129">
        <f t="shared" si="1"/>
        <v>19642921</v>
      </c>
      <c r="AC9" s="28"/>
    </row>
    <row r="10" spans="1:31">
      <c r="A10" s="184" t="s">
        <v>84</v>
      </c>
      <c r="B10" s="184" t="s">
        <v>182</v>
      </c>
      <c r="C10" s="129"/>
      <c r="D10" s="129"/>
      <c r="E10" s="129"/>
      <c r="F10" s="129"/>
      <c r="G10" s="129"/>
      <c r="H10" s="129"/>
      <c r="I10" s="129"/>
      <c r="J10" s="129"/>
      <c r="K10" s="129"/>
      <c r="L10" s="129"/>
      <c r="M10" s="129"/>
      <c r="N10" s="129"/>
      <c r="O10" s="129"/>
      <c r="P10" s="129"/>
      <c r="Q10" s="129"/>
      <c r="R10" s="129"/>
      <c r="S10" s="129">
        <v>5897576.86793203</v>
      </c>
      <c r="T10" s="129">
        <v>6125704.1042999998</v>
      </c>
      <c r="U10" s="129">
        <v>6140812.86833</v>
      </c>
      <c r="V10" s="129">
        <v>6505627.7454972398</v>
      </c>
      <c r="W10" s="129">
        <v>6597413.4934429247</v>
      </c>
      <c r="X10" s="129">
        <v>6669905.367991548</v>
      </c>
      <c r="Y10" s="129">
        <v>6687221.429882193</v>
      </c>
      <c r="Z10" s="129">
        <v>6826604.5989217069</v>
      </c>
      <c r="AA10" s="129">
        <v>6794394</v>
      </c>
      <c r="AE10" s="28"/>
    </row>
    <row r="11" spans="1:31">
      <c r="A11" s="184" t="s">
        <v>227</v>
      </c>
      <c r="B11" s="184" t="s">
        <v>183</v>
      </c>
      <c r="C11" s="129"/>
      <c r="D11" s="129"/>
      <c r="E11" s="129"/>
      <c r="F11" s="129"/>
      <c r="G11" s="129"/>
      <c r="H11" s="129"/>
      <c r="I11" s="129"/>
      <c r="J11" s="129"/>
      <c r="K11" s="129"/>
      <c r="L11" s="129"/>
      <c r="M11" s="129"/>
      <c r="N11" s="129"/>
      <c r="O11" s="129"/>
      <c r="P11" s="129"/>
      <c r="Q11" s="129"/>
      <c r="R11" s="129"/>
      <c r="S11" s="129">
        <v>10415488.132067971</v>
      </c>
      <c r="T11" s="129">
        <v>10990543.8957</v>
      </c>
      <c r="U11" s="129">
        <v>11070978.13167</v>
      </c>
      <c r="V11" s="129">
        <v>11618348.25450276</v>
      </c>
      <c r="W11" s="129">
        <v>12009568.506557075</v>
      </c>
      <c r="X11" s="129">
        <v>12257393.632008452</v>
      </c>
      <c r="Y11" s="129">
        <v>12216689.570117807</v>
      </c>
      <c r="Z11" s="129">
        <v>12374482.401078293</v>
      </c>
      <c r="AA11" s="129">
        <v>12848527</v>
      </c>
      <c r="AE11" s="28"/>
    </row>
    <row r="12" spans="1:31">
      <c r="A12" s="185" t="s">
        <v>88</v>
      </c>
      <c r="B12" s="185" t="s">
        <v>185</v>
      </c>
      <c r="C12" s="225"/>
      <c r="D12" s="225"/>
      <c r="E12" s="225"/>
      <c r="F12" s="225"/>
      <c r="G12" s="225"/>
      <c r="H12" s="225"/>
      <c r="I12" s="225"/>
      <c r="J12" s="225"/>
      <c r="K12" s="225"/>
      <c r="L12" s="225"/>
      <c r="M12" s="225"/>
      <c r="N12" s="225"/>
      <c r="O12" s="225"/>
      <c r="P12" s="225"/>
      <c r="Q12" s="225"/>
      <c r="R12" s="225"/>
      <c r="S12" s="225">
        <f t="shared" ref="S12:AA12" si="2">+S6+S9</f>
        <v>49833742</v>
      </c>
      <c r="T12" s="225">
        <f t="shared" si="2"/>
        <v>50907282</v>
      </c>
      <c r="U12" s="225">
        <f t="shared" si="2"/>
        <v>51503397</v>
      </c>
      <c r="V12" s="225">
        <f t="shared" si="2"/>
        <v>53220022</v>
      </c>
      <c r="W12" s="225">
        <f t="shared" si="2"/>
        <v>54429453</v>
      </c>
      <c r="X12" s="225">
        <f t="shared" si="2"/>
        <v>68311413</v>
      </c>
      <c r="Y12" s="225">
        <f t="shared" si="2"/>
        <v>69930817</v>
      </c>
      <c r="Z12" s="225">
        <f t="shared" si="2"/>
        <v>70218361</v>
      </c>
      <c r="AA12" s="225">
        <f t="shared" si="2"/>
        <v>72645975</v>
      </c>
      <c r="AE12" s="28"/>
    </row>
    <row r="13" spans="1:31" ht="15.5">
      <c r="A13" s="83"/>
      <c r="B13" s="83"/>
      <c r="AE13" s="28"/>
    </row>
    <row r="14" spans="1:31" ht="36">
      <c r="A14" s="187" t="s">
        <v>525</v>
      </c>
      <c r="B14" s="187" t="s">
        <v>511</v>
      </c>
      <c r="C14" s="102" t="s">
        <v>190</v>
      </c>
      <c r="D14" s="102" t="s">
        <v>193</v>
      </c>
      <c r="E14" s="102" t="s">
        <v>198</v>
      </c>
      <c r="F14" s="102" t="s">
        <v>214</v>
      </c>
      <c r="G14" s="102" t="s">
        <v>220</v>
      </c>
      <c r="H14" s="102" t="s">
        <v>236</v>
      </c>
      <c r="I14" s="102" t="s">
        <v>241</v>
      </c>
      <c r="J14" s="102" t="s">
        <v>244</v>
      </c>
      <c r="K14" s="102" t="s">
        <v>246</v>
      </c>
      <c r="L14" s="102" t="s">
        <v>254</v>
      </c>
      <c r="M14" s="102" t="s">
        <v>255</v>
      </c>
      <c r="N14" s="102" t="s">
        <v>261</v>
      </c>
      <c r="O14" s="102" t="s">
        <v>263</v>
      </c>
      <c r="P14" s="102" t="s">
        <v>274</v>
      </c>
      <c r="Q14" s="102" t="s">
        <v>279</v>
      </c>
      <c r="R14" s="102" t="s">
        <v>284</v>
      </c>
      <c r="S14" s="206" t="s">
        <v>314</v>
      </c>
      <c r="T14" s="206" t="s">
        <v>367</v>
      </c>
      <c r="U14" s="206" t="s">
        <v>417</v>
      </c>
      <c r="V14" s="206" t="s">
        <v>420</v>
      </c>
      <c r="W14" s="206" t="s">
        <v>424</v>
      </c>
      <c r="X14" s="206" t="s">
        <v>435</v>
      </c>
      <c r="Y14" s="206" t="s">
        <v>440</v>
      </c>
      <c r="Z14" s="206" t="s">
        <v>446</v>
      </c>
      <c r="AA14" s="206" t="s">
        <v>528</v>
      </c>
      <c r="AE14" s="28"/>
    </row>
    <row r="15" spans="1:31">
      <c r="A15" s="184" t="s">
        <v>89</v>
      </c>
      <c r="B15" s="184" t="s">
        <v>178</v>
      </c>
      <c r="C15" s="129"/>
      <c r="D15" s="129"/>
      <c r="E15" s="129"/>
      <c r="F15" s="129"/>
      <c r="G15" s="129"/>
      <c r="H15" s="129"/>
      <c r="I15" s="129"/>
      <c r="J15" s="129"/>
      <c r="K15" s="129"/>
      <c r="L15" s="129"/>
      <c r="M15" s="129"/>
      <c r="N15" s="129"/>
      <c r="O15" s="129"/>
      <c r="P15" s="129"/>
      <c r="Q15" s="129"/>
      <c r="R15" s="129"/>
      <c r="S15" s="129">
        <f t="shared" ref="S15:AA15" si="3">SUM(S16:S17)</f>
        <v>-1139300</v>
      </c>
      <c r="T15" s="129">
        <f t="shared" si="3"/>
        <v>-1111115</v>
      </c>
      <c r="U15" s="129">
        <f t="shared" si="3"/>
        <v>-1089021</v>
      </c>
      <c r="V15" s="129">
        <f t="shared" si="3"/>
        <v>-1080697</v>
      </c>
      <c r="W15" s="129">
        <f t="shared" si="3"/>
        <v>-1042455</v>
      </c>
      <c r="X15" s="129">
        <f t="shared" si="3"/>
        <v>-1177424</v>
      </c>
      <c r="Y15" s="129">
        <f t="shared" si="3"/>
        <v>-1264875</v>
      </c>
      <c r="Z15" s="129">
        <f t="shared" si="3"/>
        <v>-1358991</v>
      </c>
      <c r="AA15" s="129">
        <f t="shared" si="3"/>
        <v>-1467313</v>
      </c>
      <c r="AE15" s="28"/>
    </row>
    <row r="16" spans="1:31">
      <c r="A16" s="184" t="s">
        <v>85</v>
      </c>
      <c r="B16" s="184" t="s">
        <v>179</v>
      </c>
      <c r="C16" s="129"/>
      <c r="D16" s="129"/>
      <c r="E16" s="129"/>
      <c r="F16" s="129"/>
      <c r="G16" s="129"/>
      <c r="H16" s="129"/>
      <c r="I16" s="129"/>
      <c r="J16" s="129"/>
      <c r="K16" s="129"/>
      <c r="L16" s="129"/>
      <c r="M16" s="129"/>
      <c r="N16" s="129"/>
      <c r="O16" s="129"/>
      <c r="P16" s="129"/>
      <c r="Q16" s="129"/>
      <c r="R16" s="129"/>
      <c r="S16" s="129">
        <v>-491759</v>
      </c>
      <c r="T16" s="129">
        <v>-504230</v>
      </c>
      <c r="U16" s="129">
        <v>-501222</v>
      </c>
      <c r="V16" s="129">
        <v>-512403</v>
      </c>
      <c r="W16" s="129">
        <v>-503175</v>
      </c>
      <c r="X16" s="129">
        <v>-509840</v>
      </c>
      <c r="Y16" s="129">
        <v>-530285</v>
      </c>
      <c r="Z16" s="129">
        <v>-498503</v>
      </c>
      <c r="AA16" s="129">
        <v>-498168</v>
      </c>
      <c r="AE16" s="28"/>
    </row>
    <row r="17" spans="1:34">
      <c r="A17" s="184" t="s">
        <v>86</v>
      </c>
      <c r="B17" s="184" t="s">
        <v>180</v>
      </c>
      <c r="C17" s="129"/>
      <c r="D17" s="129"/>
      <c r="E17" s="129"/>
      <c r="F17" s="129"/>
      <c r="G17" s="129"/>
      <c r="H17" s="129"/>
      <c r="I17" s="129"/>
      <c r="J17" s="129"/>
      <c r="K17" s="129"/>
      <c r="L17" s="129"/>
      <c r="M17" s="129"/>
      <c r="N17" s="129"/>
      <c r="O17" s="129"/>
      <c r="P17" s="129"/>
      <c r="Q17" s="129"/>
      <c r="R17" s="129"/>
      <c r="S17" s="129">
        <v>-647541</v>
      </c>
      <c r="T17" s="129">
        <v>-606885</v>
      </c>
      <c r="U17" s="129">
        <v>-587799</v>
      </c>
      <c r="V17" s="129">
        <v>-568294</v>
      </c>
      <c r="W17" s="129">
        <v>-539280</v>
      </c>
      <c r="X17" s="129">
        <v>-667584</v>
      </c>
      <c r="Y17" s="129">
        <v>-734590</v>
      </c>
      <c r="Z17" s="129">
        <v>-860488</v>
      </c>
      <c r="AA17" s="129">
        <v>-969145</v>
      </c>
    </row>
    <row r="18" spans="1:34">
      <c r="A18" s="184" t="s">
        <v>226</v>
      </c>
      <c r="B18" s="184" t="s">
        <v>181</v>
      </c>
      <c r="C18" s="129"/>
      <c r="D18" s="129"/>
      <c r="E18" s="129"/>
      <c r="F18" s="129"/>
      <c r="G18" s="129"/>
      <c r="H18" s="129"/>
      <c r="I18" s="129"/>
      <c r="J18" s="129"/>
      <c r="K18" s="129"/>
      <c r="L18" s="129"/>
      <c r="M18" s="129"/>
      <c r="N18" s="129"/>
      <c r="O18" s="129"/>
      <c r="P18" s="129"/>
      <c r="Q18" s="129"/>
      <c r="R18" s="129"/>
      <c r="S18" s="129">
        <f t="shared" ref="S18:AA18" si="4">SUM(S19:S20)</f>
        <v>-694785</v>
      </c>
      <c r="T18" s="129">
        <f t="shared" si="4"/>
        <v>-694201</v>
      </c>
      <c r="U18" s="129">
        <f t="shared" si="4"/>
        <v>-691816</v>
      </c>
      <c r="V18" s="129">
        <f t="shared" si="4"/>
        <v>-678170</v>
      </c>
      <c r="W18" s="129">
        <f t="shared" si="4"/>
        <v>-688133</v>
      </c>
      <c r="X18" s="129">
        <f t="shared" si="4"/>
        <v>-620204</v>
      </c>
      <c r="Y18" s="129">
        <f t="shared" si="4"/>
        <v>-620496</v>
      </c>
      <c r="Z18" s="129">
        <f t="shared" si="4"/>
        <v>-602627</v>
      </c>
      <c r="AA18" s="129">
        <f t="shared" si="4"/>
        <v>-608593</v>
      </c>
    </row>
    <row r="19" spans="1:34">
      <c r="A19" s="184" t="s">
        <v>84</v>
      </c>
      <c r="B19" s="184" t="s">
        <v>182</v>
      </c>
      <c r="C19" s="129"/>
      <c r="D19" s="129"/>
      <c r="E19" s="129"/>
      <c r="F19" s="129"/>
      <c r="G19" s="129"/>
      <c r="H19" s="129"/>
      <c r="I19" s="129"/>
      <c r="J19" s="129"/>
      <c r="K19" s="129"/>
      <c r="L19" s="129"/>
      <c r="M19" s="129"/>
      <c r="N19" s="129"/>
      <c r="O19" s="129"/>
      <c r="P19" s="129"/>
      <c r="Q19" s="129"/>
      <c r="R19" s="129"/>
      <c r="S19" s="129">
        <v>-168621.71062</v>
      </c>
      <c r="T19" s="129">
        <v>-171948.46978000001</v>
      </c>
      <c r="U19" s="129">
        <v>-174438.82798</v>
      </c>
      <c r="V19" s="129">
        <v>-172022.35799000002</v>
      </c>
      <c r="W19" s="129">
        <v>-176387.13721000002</v>
      </c>
      <c r="X19" s="129">
        <v>-144285.36044999998</v>
      </c>
      <c r="Y19" s="129">
        <v>-150140.99750999999</v>
      </c>
      <c r="Z19" s="129">
        <v>-166659.64799999999</v>
      </c>
      <c r="AA19" s="129">
        <v>-165283</v>
      </c>
    </row>
    <row r="20" spans="1:34">
      <c r="A20" s="184" t="s">
        <v>227</v>
      </c>
      <c r="B20" s="184" t="s">
        <v>183</v>
      </c>
      <c r="C20" s="129"/>
      <c r="D20" s="129"/>
      <c r="E20" s="129"/>
      <c r="F20" s="129"/>
      <c r="G20" s="129"/>
      <c r="H20" s="129"/>
      <c r="I20" s="129"/>
      <c r="J20" s="129"/>
      <c r="K20" s="129"/>
      <c r="L20" s="129"/>
      <c r="M20" s="129"/>
      <c r="N20" s="129"/>
      <c r="O20" s="129"/>
      <c r="P20" s="129"/>
      <c r="Q20" s="129"/>
      <c r="R20" s="129"/>
      <c r="S20" s="129">
        <v>-526163.28937999997</v>
      </c>
      <c r="T20" s="129">
        <v>-522252.53021999996</v>
      </c>
      <c r="U20" s="129">
        <v>-517377.17202</v>
      </c>
      <c r="V20" s="129">
        <v>-506147.64200999995</v>
      </c>
      <c r="W20" s="129">
        <v>-511745.86278999998</v>
      </c>
      <c r="X20" s="129">
        <v>-475918.63955000002</v>
      </c>
      <c r="Y20" s="129">
        <v>-470355.00248999998</v>
      </c>
      <c r="Z20" s="129">
        <v>-435967.35200000001</v>
      </c>
      <c r="AA20" s="129">
        <v>-443310</v>
      </c>
    </row>
    <row r="21" spans="1:34">
      <c r="A21" s="185" t="s">
        <v>512</v>
      </c>
      <c r="B21" s="185" t="s">
        <v>513</v>
      </c>
      <c r="C21" s="225"/>
      <c r="D21" s="225"/>
      <c r="E21" s="225"/>
      <c r="F21" s="225"/>
      <c r="G21" s="225"/>
      <c r="H21" s="225"/>
      <c r="I21" s="225"/>
      <c r="J21" s="225"/>
      <c r="K21" s="225"/>
      <c r="L21" s="225"/>
      <c r="M21" s="225"/>
      <c r="N21" s="225"/>
      <c r="O21" s="225"/>
      <c r="P21" s="225"/>
      <c r="Q21" s="225"/>
      <c r="R21" s="225"/>
      <c r="S21" s="225">
        <f t="shared" ref="S21:AA21" si="5">+S15+S18</f>
        <v>-1834085</v>
      </c>
      <c r="T21" s="225">
        <f t="shared" si="5"/>
        <v>-1805316</v>
      </c>
      <c r="U21" s="225">
        <f t="shared" si="5"/>
        <v>-1780837</v>
      </c>
      <c r="V21" s="225">
        <f t="shared" si="5"/>
        <v>-1758867</v>
      </c>
      <c r="W21" s="225">
        <f t="shared" si="5"/>
        <v>-1730588</v>
      </c>
      <c r="X21" s="225">
        <f t="shared" si="5"/>
        <v>-1797628</v>
      </c>
      <c r="Y21" s="225">
        <f t="shared" si="5"/>
        <v>-1885371</v>
      </c>
      <c r="Z21" s="225">
        <f t="shared" si="5"/>
        <v>-1961618</v>
      </c>
      <c r="AA21" s="225">
        <f t="shared" si="5"/>
        <v>-2075906</v>
      </c>
    </row>
    <row r="22" spans="1:34" ht="15.5">
      <c r="A22" s="83"/>
      <c r="B22" s="83"/>
    </row>
    <row r="23" spans="1:34" ht="24">
      <c r="A23" s="187" t="s">
        <v>526</v>
      </c>
      <c r="B23" s="187" t="s">
        <v>510</v>
      </c>
      <c r="C23" s="102" t="s">
        <v>190</v>
      </c>
      <c r="D23" s="102" t="s">
        <v>193</v>
      </c>
      <c r="E23" s="102" t="s">
        <v>198</v>
      </c>
      <c r="F23" s="102" t="s">
        <v>214</v>
      </c>
      <c r="G23" s="102" t="s">
        <v>220</v>
      </c>
      <c r="H23" s="102" t="s">
        <v>236</v>
      </c>
      <c r="I23" s="102" t="s">
        <v>241</v>
      </c>
      <c r="J23" s="102" t="s">
        <v>244</v>
      </c>
      <c r="K23" s="102" t="s">
        <v>246</v>
      </c>
      <c r="L23" s="102" t="s">
        <v>254</v>
      </c>
      <c r="M23" s="102" t="s">
        <v>255</v>
      </c>
      <c r="N23" s="102" t="s">
        <v>261</v>
      </c>
      <c r="O23" s="102" t="s">
        <v>263</v>
      </c>
      <c r="P23" s="102" t="s">
        <v>274</v>
      </c>
      <c r="Q23" s="102" t="s">
        <v>279</v>
      </c>
      <c r="R23" s="102" t="s">
        <v>284</v>
      </c>
      <c r="S23" s="206" t="s">
        <v>314</v>
      </c>
      <c r="T23" s="206" t="s">
        <v>367</v>
      </c>
      <c r="U23" s="206" t="s">
        <v>417</v>
      </c>
      <c r="V23" s="206" t="s">
        <v>420</v>
      </c>
      <c r="W23" s="206" t="s">
        <v>424</v>
      </c>
      <c r="X23" s="206" t="s">
        <v>435</v>
      </c>
      <c r="Y23" s="206" t="s">
        <v>440</v>
      </c>
      <c r="Z23" s="206" t="s">
        <v>446</v>
      </c>
      <c r="AA23" s="206" t="s">
        <v>528</v>
      </c>
      <c r="AE23" s="28"/>
      <c r="AH23" s="28"/>
    </row>
    <row r="24" spans="1:34">
      <c r="A24" s="184" t="s">
        <v>89</v>
      </c>
      <c r="B24" s="184" t="s">
        <v>178</v>
      </c>
      <c r="C24" s="20">
        <f t="shared" ref="C24:H24" si="6">+C25+C26</f>
        <v>30742167</v>
      </c>
      <c r="D24" s="20">
        <f t="shared" si="6"/>
        <v>30830927</v>
      </c>
      <c r="E24" s="20">
        <f t="shared" si="6"/>
        <v>31086877</v>
      </c>
      <c r="F24" s="20">
        <f t="shared" si="6"/>
        <v>31435346</v>
      </c>
      <c r="G24" s="20">
        <f t="shared" si="6"/>
        <v>33218689</v>
      </c>
      <c r="H24" s="20">
        <f t="shared" si="6"/>
        <v>33783984</v>
      </c>
      <c r="I24" s="20">
        <f>+I25+I26</f>
        <v>32776611</v>
      </c>
      <c r="J24" s="20">
        <f>+J25+J26</f>
        <v>32905953</v>
      </c>
      <c r="K24" s="20">
        <f>+K25+K26</f>
        <v>32647736</v>
      </c>
      <c r="L24" s="20">
        <f>+L25+L26</f>
        <v>33397980</v>
      </c>
      <c r="M24" s="20">
        <v>32829570</v>
      </c>
      <c r="N24" s="20">
        <f>+N25+N26</f>
        <v>33241628</v>
      </c>
      <c r="O24" s="20">
        <f>+O25+O26</f>
        <v>32523853</v>
      </c>
      <c r="P24" s="20">
        <f>+P25+P26</f>
        <v>32490861</v>
      </c>
      <c r="Q24" s="20">
        <f>+Q25+Q26</f>
        <v>32462778</v>
      </c>
      <c r="R24" s="20">
        <f>+R25+R26</f>
        <v>32012824</v>
      </c>
      <c r="S24" s="20">
        <f t="shared" ref="S24:Z24" si="7">+S25+S26</f>
        <v>32381377</v>
      </c>
      <c r="T24" s="20">
        <f t="shared" si="7"/>
        <v>32679919</v>
      </c>
      <c r="U24" s="20">
        <f t="shared" si="7"/>
        <v>33202585</v>
      </c>
      <c r="V24" s="20">
        <f t="shared" si="7"/>
        <v>34015349</v>
      </c>
      <c r="W24" s="20">
        <f t="shared" si="7"/>
        <v>34780016</v>
      </c>
      <c r="X24" s="20">
        <f t="shared" si="7"/>
        <v>48206690</v>
      </c>
      <c r="Y24" s="20">
        <f t="shared" si="7"/>
        <v>49762031</v>
      </c>
      <c r="Z24" s="20">
        <f t="shared" si="7"/>
        <v>49658283</v>
      </c>
      <c r="AA24" s="20">
        <f>+AA25+AA26</f>
        <v>51535741</v>
      </c>
      <c r="AB24" s="28"/>
      <c r="AC24" s="28"/>
      <c r="AE24" s="28"/>
      <c r="AH24" s="28"/>
    </row>
    <row r="25" spans="1:34">
      <c r="A25" s="184" t="s">
        <v>85</v>
      </c>
      <c r="B25" s="184" t="s">
        <v>179</v>
      </c>
      <c r="C25" s="20">
        <v>26908340</v>
      </c>
      <c r="D25" s="20">
        <v>26741141</v>
      </c>
      <c r="E25" s="20">
        <v>26730536</v>
      </c>
      <c r="F25" s="20">
        <v>26906624</v>
      </c>
      <c r="G25" s="20">
        <v>28464410</v>
      </c>
      <c r="H25" s="20">
        <v>28777461</v>
      </c>
      <c r="I25" s="20">
        <v>27656249</v>
      </c>
      <c r="J25" s="20">
        <v>27683396</v>
      </c>
      <c r="K25" s="20">
        <v>27290063</v>
      </c>
      <c r="L25" s="20">
        <v>27813996</v>
      </c>
      <c r="M25" s="20">
        <v>27155206</v>
      </c>
      <c r="N25" s="20">
        <v>27492036</v>
      </c>
      <c r="O25" s="20">
        <v>26688152</v>
      </c>
      <c r="P25" s="20">
        <v>26490617</v>
      </c>
      <c r="Q25" s="20">
        <v>26297728</v>
      </c>
      <c r="R25" s="20">
        <v>25752818</v>
      </c>
      <c r="S25" s="20">
        <f t="shared" ref="S25:Z25" si="8">+S7+S16</f>
        <v>25903502</v>
      </c>
      <c r="T25" s="20">
        <f t="shared" si="8"/>
        <v>26995785</v>
      </c>
      <c r="U25" s="20">
        <f t="shared" si="8"/>
        <v>27274468</v>
      </c>
      <c r="V25" s="20">
        <f t="shared" si="8"/>
        <v>27806782</v>
      </c>
      <c r="W25" s="20">
        <f t="shared" si="8"/>
        <v>28235851</v>
      </c>
      <c r="X25" s="20">
        <f t="shared" si="8"/>
        <v>34838019</v>
      </c>
      <c r="Y25" s="20">
        <f t="shared" si="8"/>
        <v>36043915</v>
      </c>
      <c r="Z25" s="20">
        <f t="shared" si="8"/>
        <v>36073180</v>
      </c>
      <c r="AA25" s="20">
        <f>+AA7+AA16</f>
        <v>37909274</v>
      </c>
      <c r="AE25" s="28"/>
      <c r="AF25" s="28"/>
      <c r="AG25" s="27"/>
    </row>
    <row r="26" spans="1:34">
      <c r="A26" s="184" t="s">
        <v>86</v>
      </c>
      <c r="B26" s="184" t="s">
        <v>180</v>
      </c>
      <c r="C26" s="20">
        <v>3833827</v>
      </c>
      <c r="D26" s="20">
        <v>4089786</v>
      </c>
      <c r="E26" s="20">
        <v>4356341</v>
      </c>
      <c r="F26" s="20">
        <v>4528722</v>
      </c>
      <c r="G26" s="20">
        <v>4754279</v>
      </c>
      <c r="H26" s="20">
        <v>5006523</v>
      </c>
      <c r="I26" s="20">
        <v>5120362</v>
      </c>
      <c r="J26" s="20">
        <v>5222557</v>
      </c>
      <c r="K26" s="20">
        <v>5357673</v>
      </c>
      <c r="L26" s="20">
        <v>5583984</v>
      </c>
      <c r="M26" s="20">
        <v>5674364</v>
      </c>
      <c r="N26" s="20">
        <v>5749592</v>
      </c>
      <c r="O26" s="20">
        <v>5835701</v>
      </c>
      <c r="P26" s="20">
        <v>6000244</v>
      </c>
      <c r="Q26" s="20">
        <v>6165050</v>
      </c>
      <c r="R26" s="20">
        <v>6260006</v>
      </c>
      <c r="S26" s="20">
        <f t="shared" ref="S26:Z26" si="9">+S8+S17</f>
        <v>6477875</v>
      </c>
      <c r="T26" s="20">
        <f t="shared" si="9"/>
        <v>5684134</v>
      </c>
      <c r="U26" s="20">
        <f t="shared" si="9"/>
        <v>5928117</v>
      </c>
      <c r="V26" s="20">
        <f t="shared" si="9"/>
        <v>6208567</v>
      </c>
      <c r="W26" s="20">
        <f t="shared" si="9"/>
        <v>6544165</v>
      </c>
      <c r="X26" s="20">
        <f t="shared" si="9"/>
        <v>13368671</v>
      </c>
      <c r="Y26" s="20">
        <f t="shared" si="9"/>
        <v>13718116</v>
      </c>
      <c r="Z26" s="20">
        <f t="shared" si="9"/>
        <v>13585103</v>
      </c>
      <c r="AA26" s="20">
        <f>+AA8+AA17</f>
        <v>13626467</v>
      </c>
      <c r="AE26" s="28"/>
      <c r="AF26" s="28"/>
      <c r="AG26" s="27"/>
      <c r="AH26" s="28"/>
    </row>
    <row r="27" spans="1:34">
      <c r="A27" s="184" t="s">
        <v>226</v>
      </c>
      <c r="B27" s="184" t="s">
        <v>181</v>
      </c>
      <c r="C27" s="20">
        <f t="shared" ref="C27:H27" si="10">+C28+C29</f>
        <v>12106384</v>
      </c>
      <c r="D27" s="20">
        <f t="shared" si="10"/>
        <v>12543497.021708965</v>
      </c>
      <c r="E27" s="20">
        <f t="shared" si="10"/>
        <v>12760238.538342863</v>
      </c>
      <c r="F27" s="20">
        <f t="shared" si="10"/>
        <v>12707352.635487549</v>
      </c>
      <c r="G27" s="20">
        <f t="shared" si="10"/>
        <v>13316025.994025126</v>
      </c>
      <c r="H27" s="20">
        <f t="shared" si="10"/>
        <v>13214246</v>
      </c>
      <c r="I27" s="20">
        <f>+I28+I29</f>
        <v>13414597.27810131</v>
      </c>
      <c r="J27" s="20">
        <f>+J28+J29</f>
        <v>13463428.415475644</v>
      </c>
      <c r="K27" s="20">
        <f>+K28+K29</f>
        <v>13437500.02018708</v>
      </c>
      <c r="L27" s="20">
        <f>+L28+L29</f>
        <v>13566647.960958436</v>
      </c>
      <c r="M27" s="20">
        <v>13561470.378984131</v>
      </c>
      <c r="N27" s="20">
        <f>+N28+N29</f>
        <v>13778415.163200701</v>
      </c>
      <c r="O27" s="20">
        <f>+O28+O29</f>
        <v>14468550.340389799</v>
      </c>
      <c r="P27" s="20">
        <f>+P28+P29</f>
        <v>14825461.871290002</v>
      </c>
      <c r="Q27" s="20">
        <f>+Q28+Q29</f>
        <v>15130448</v>
      </c>
      <c r="R27" s="20">
        <f>+R28+R29</f>
        <v>15398253.532634467</v>
      </c>
      <c r="S27" s="20">
        <f t="shared" ref="S27:Z27" si="11">+S28+S29</f>
        <v>15618280.000000002</v>
      </c>
      <c r="T27" s="20">
        <f t="shared" si="11"/>
        <v>16422047</v>
      </c>
      <c r="U27" s="20">
        <f t="shared" si="11"/>
        <v>16519975</v>
      </c>
      <c r="V27" s="20">
        <f t="shared" si="11"/>
        <v>17445806</v>
      </c>
      <c r="W27" s="20">
        <f t="shared" si="11"/>
        <v>17918849</v>
      </c>
      <c r="X27" s="20">
        <f t="shared" si="11"/>
        <v>18307095</v>
      </c>
      <c r="Y27" s="20">
        <f t="shared" si="11"/>
        <v>18283415</v>
      </c>
      <c r="Z27" s="20">
        <f t="shared" si="11"/>
        <v>18598460</v>
      </c>
      <c r="AA27" s="20">
        <f>+AA28+AA29</f>
        <v>19034328</v>
      </c>
      <c r="AB27" s="28"/>
      <c r="AC27" s="28"/>
      <c r="AE27" s="28"/>
    </row>
    <row r="28" spans="1:34">
      <c r="A28" s="184" t="s">
        <v>84</v>
      </c>
      <c r="B28" s="184" t="s">
        <v>182</v>
      </c>
      <c r="C28" s="20">
        <v>3574977</v>
      </c>
      <c r="D28" s="20">
        <v>3710673.9509789585</v>
      </c>
      <c r="E28" s="20">
        <v>3959673.6818528576</v>
      </c>
      <c r="F28" s="20">
        <v>3973995.996827547</v>
      </c>
      <c r="G28" s="20">
        <v>4067754.0962551231</v>
      </c>
      <c r="H28" s="20">
        <v>4209195</v>
      </c>
      <c r="I28" s="20">
        <v>4359387.3711613137</v>
      </c>
      <c r="J28" s="20">
        <v>4639776.7185956417</v>
      </c>
      <c r="K28" s="20">
        <v>4733524.6133170743</v>
      </c>
      <c r="L28" s="20">
        <v>4920023.9526984338</v>
      </c>
      <c r="M28" s="20">
        <v>4975844.4154541316</v>
      </c>
      <c r="N28" s="20">
        <v>5132389.3175206799</v>
      </c>
      <c r="O28" s="20">
        <v>5181709.0327597558</v>
      </c>
      <c r="P28" s="20">
        <v>5327986.15912</v>
      </c>
      <c r="Q28" s="20">
        <v>5487648.4850399988</v>
      </c>
      <c r="R28" s="20">
        <v>5605797.4103544615</v>
      </c>
      <c r="S28" s="20">
        <f t="shared" ref="S28:Z28" si="12">+S10+S19</f>
        <v>5728955.15731203</v>
      </c>
      <c r="T28" s="20">
        <f t="shared" si="12"/>
        <v>5953755.6345199998</v>
      </c>
      <c r="U28" s="20">
        <f t="shared" si="12"/>
        <v>5966374.0403500004</v>
      </c>
      <c r="V28" s="20">
        <f t="shared" si="12"/>
        <v>6333605.3875072394</v>
      </c>
      <c r="W28" s="20">
        <f t="shared" si="12"/>
        <v>6421026.3562329244</v>
      </c>
      <c r="X28" s="20">
        <f t="shared" si="12"/>
        <v>6525620.0075415485</v>
      </c>
      <c r="Y28" s="20">
        <f t="shared" si="12"/>
        <v>6537080.4323721929</v>
      </c>
      <c r="Z28" s="20">
        <f t="shared" si="12"/>
        <v>6659944.9509217069</v>
      </c>
      <c r="AA28" s="20">
        <f>+AA10+AA19</f>
        <v>6629111</v>
      </c>
      <c r="AB28" s="28"/>
      <c r="AE28" s="28"/>
    </row>
    <row r="29" spans="1:34">
      <c r="A29" s="184" t="s">
        <v>227</v>
      </c>
      <c r="B29" s="184" t="s">
        <v>183</v>
      </c>
      <c r="C29" s="20">
        <v>8531407</v>
      </c>
      <c r="D29" s="20">
        <v>8832823.0707300063</v>
      </c>
      <c r="E29" s="20">
        <v>8800564.8564900048</v>
      </c>
      <c r="F29" s="20">
        <v>8733356.6386600025</v>
      </c>
      <c r="G29" s="20">
        <v>9248271.8977700025</v>
      </c>
      <c r="H29" s="20">
        <v>9005051</v>
      </c>
      <c r="I29" s="20">
        <v>9055209.9069399964</v>
      </c>
      <c r="J29" s="20">
        <v>8823651.6968800016</v>
      </c>
      <c r="K29" s="20">
        <v>8703975.4068700057</v>
      </c>
      <c r="L29" s="20">
        <v>8646624.0082600024</v>
      </c>
      <c r="M29" s="20">
        <v>8585625.9635300003</v>
      </c>
      <c r="N29" s="20">
        <f>13778415.1632007-N28</f>
        <v>8646025.8456800207</v>
      </c>
      <c r="O29" s="20">
        <f>14468550.3403898-O28</f>
        <v>9286841.3076300435</v>
      </c>
      <c r="P29" s="20">
        <f>14825461.87129-P28</f>
        <v>9497475.7121700011</v>
      </c>
      <c r="Q29" s="20">
        <v>9642799.5149600022</v>
      </c>
      <c r="R29" s="20">
        <v>9792456.1222800054</v>
      </c>
      <c r="S29" s="20">
        <f t="shared" ref="S29:Z29" si="13">+S11+S20</f>
        <v>9889324.8426879719</v>
      </c>
      <c r="T29" s="20">
        <f t="shared" si="13"/>
        <v>10468291.36548</v>
      </c>
      <c r="U29" s="20">
        <f t="shared" si="13"/>
        <v>10553600.959650001</v>
      </c>
      <c r="V29" s="20">
        <f t="shared" si="13"/>
        <v>11112200.612492761</v>
      </c>
      <c r="W29" s="20">
        <f t="shared" si="13"/>
        <v>11497822.643767076</v>
      </c>
      <c r="X29" s="20">
        <f t="shared" si="13"/>
        <v>11781474.992458452</v>
      </c>
      <c r="Y29" s="20">
        <f t="shared" si="13"/>
        <v>11746334.567627806</v>
      </c>
      <c r="Z29" s="20">
        <f t="shared" si="13"/>
        <v>11938515.049078293</v>
      </c>
      <c r="AA29" s="20">
        <f>+AA11+AA20</f>
        <v>12405217</v>
      </c>
      <c r="AE29" s="28"/>
    </row>
    <row r="30" spans="1:34">
      <c r="A30" s="185" t="s">
        <v>87</v>
      </c>
      <c r="B30" s="185" t="s">
        <v>184</v>
      </c>
      <c r="C30" s="29">
        <v>42848551</v>
      </c>
      <c r="D30" s="29">
        <v>43374424.021708965</v>
      </c>
      <c r="E30" s="29">
        <v>43847115.538342863</v>
      </c>
      <c r="F30" s="29">
        <f t="shared" ref="F30:K30" si="14">+F27+F24</f>
        <v>44142698.635487549</v>
      </c>
      <c r="G30" s="29">
        <f t="shared" si="14"/>
        <v>46534714.994025126</v>
      </c>
      <c r="H30" s="29">
        <f t="shared" si="14"/>
        <v>46998230</v>
      </c>
      <c r="I30" s="29">
        <f t="shared" si="14"/>
        <v>46191208.27810131</v>
      </c>
      <c r="J30" s="29">
        <f t="shared" si="14"/>
        <v>46369381.415475644</v>
      </c>
      <c r="K30" s="29">
        <f t="shared" si="14"/>
        <v>46085236.02018708</v>
      </c>
      <c r="L30" s="29">
        <f>+L27+L24</f>
        <v>46964627.960958436</v>
      </c>
      <c r="M30" s="29">
        <v>46391040.378984131</v>
      </c>
      <c r="N30" s="29">
        <f>+N27+N24</f>
        <v>47020043.163200699</v>
      </c>
      <c r="O30" s="29">
        <f>+O27+O24</f>
        <v>46992403.340389803</v>
      </c>
      <c r="P30" s="29">
        <f>+P27+P24</f>
        <v>47316322.871289998</v>
      </c>
      <c r="Q30" s="29">
        <f>+Q27+Q24</f>
        <v>47593226</v>
      </c>
      <c r="R30" s="29">
        <f>+R27+R24</f>
        <v>47411077.532634467</v>
      </c>
      <c r="S30" s="29">
        <f t="shared" ref="S30:Z30" si="15">+S27+S24</f>
        <v>47999657</v>
      </c>
      <c r="T30" s="29">
        <f t="shared" si="15"/>
        <v>49101966</v>
      </c>
      <c r="U30" s="29">
        <f t="shared" si="15"/>
        <v>49722560</v>
      </c>
      <c r="V30" s="29">
        <f t="shared" si="15"/>
        <v>51461155</v>
      </c>
      <c r="W30" s="29">
        <f t="shared" si="15"/>
        <v>52698865</v>
      </c>
      <c r="X30" s="29">
        <f t="shared" si="15"/>
        <v>66513785</v>
      </c>
      <c r="Y30" s="29">
        <f t="shared" si="15"/>
        <v>68045446</v>
      </c>
      <c r="Z30" s="29">
        <f t="shared" si="15"/>
        <v>68256743</v>
      </c>
      <c r="AA30" s="29">
        <f>+AA27+AA24</f>
        <v>70570069</v>
      </c>
      <c r="AB30" s="28"/>
      <c r="AE30" s="28"/>
    </row>
    <row r="32" spans="1:34" ht="24">
      <c r="A32" s="187" t="s">
        <v>412</v>
      </c>
      <c r="B32" s="187" t="s">
        <v>394</v>
      </c>
      <c r="T32" s="186" t="s">
        <v>367</v>
      </c>
      <c r="U32" s="186" t="s">
        <v>417</v>
      </c>
      <c r="V32" s="186" t="s">
        <v>420</v>
      </c>
      <c r="W32" s="186" t="s">
        <v>424</v>
      </c>
      <c r="X32" s="186" t="s">
        <v>435</v>
      </c>
      <c r="Y32" s="186" t="s">
        <v>440</v>
      </c>
      <c r="Z32" s="186" t="s">
        <v>446</v>
      </c>
      <c r="AA32" s="206" t="s">
        <v>528</v>
      </c>
    </row>
    <row r="33" spans="1:34">
      <c r="A33" s="184" t="s">
        <v>89</v>
      </c>
      <c r="B33" s="184" t="s">
        <v>178</v>
      </c>
      <c r="T33" s="20">
        <v>1133832</v>
      </c>
      <c r="U33" s="20">
        <v>1172732</v>
      </c>
      <c r="V33" s="20">
        <v>1232493.57274</v>
      </c>
      <c r="W33" s="20">
        <v>1221378</v>
      </c>
      <c r="X33" s="20">
        <v>1322107.0177</v>
      </c>
      <c r="Y33" s="20">
        <v>1415700.4571099998</v>
      </c>
      <c r="Z33" s="20">
        <v>1479645</v>
      </c>
      <c r="AA33" s="20">
        <v>1459789</v>
      </c>
      <c r="AD33" s="28"/>
      <c r="AE33" s="28"/>
    </row>
    <row r="34" spans="1:34">
      <c r="A34" s="184" t="s">
        <v>226</v>
      </c>
      <c r="B34" s="184" t="s">
        <v>181</v>
      </c>
      <c r="T34" s="20">
        <f>19912+157</f>
        <v>20069</v>
      </c>
      <c r="U34" s="20">
        <v>19885</v>
      </c>
      <c r="V34" s="20">
        <v>18031.050599999999</v>
      </c>
      <c r="W34" s="20">
        <v>19533</v>
      </c>
      <c r="X34" s="20">
        <v>19317.459360000001</v>
      </c>
      <c r="Y34" s="20">
        <v>19911.941790000001</v>
      </c>
      <c r="Z34" s="20">
        <v>18550</v>
      </c>
      <c r="AA34" s="20">
        <v>15725</v>
      </c>
      <c r="AD34" s="28"/>
      <c r="AE34" s="28"/>
    </row>
    <row r="35" spans="1:34">
      <c r="A35" s="185" t="s">
        <v>68</v>
      </c>
      <c r="B35" s="185" t="s">
        <v>156</v>
      </c>
      <c r="T35" s="29">
        <f>+T34+T33</f>
        <v>1153901</v>
      </c>
      <c r="U35" s="29">
        <f>+U34+U33</f>
        <v>1192617</v>
      </c>
      <c r="V35" s="29">
        <f>+V34+V33</f>
        <v>1250524.6233399999</v>
      </c>
      <c r="W35" s="29">
        <f>+W34+W33</f>
        <v>1240911</v>
      </c>
      <c r="X35" s="29">
        <v>1341424.4770599999</v>
      </c>
      <c r="Y35" s="29">
        <f>+Y34+Y33</f>
        <v>1435612.3988999999</v>
      </c>
      <c r="Z35" s="29">
        <f>+Z34+Z33</f>
        <v>1498195</v>
      </c>
      <c r="AA35" s="29">
        <f>+AA34+AA33</f>
        <v>1475514</v>
      </c>
      <c r="AD35" s="28"/>
      <c r="AE35" s="28"/>
    </row>
    <row r="36" spans="1:34">
      <c r="T36" s="140"/>
      <c r="U36" s="140"/>
      <c r="V36" s="140"/>
      <c r="W36" s="140"/>
      <c r="X36" s="140"/>
      <c r="Y36" s="140"/>
      <c r="Z36" s="140"/>
      <c r="AA36" s="140"/>
    </row>
    <row r="37" spans="1:34">
      <c r="A37" s="187" t="s">
        <v>428</v>
      </c>
      <c r="B37" s="187" t="s">
        <v>429</v>
      </c>
      <c r="T37" s="29">
        <f>+T35+T30</f>
        <v>50255867</v>
      </c>
      <c r="U37" s="29">
        <f>+U35+U30</f>
        <v>50915177</v>
      </c>
      <c r="V37" s="29">
        <f>+V35+V30</f>
        <v>52711679.623340003</v>
      </c>
      <c r="W37" s="29">
        <f>+W35+W30</f>
        <v>53939776</v>
      </c>
      <c r="X37" s="29">
        <v>67855209.477060005</v>
      </c>
      <c r="Y37" s="29">
        <f>+Y35+Y30</f>
        <v>69481058.398900002</v>
      </c>
      <c r="Z37" s="29">
        <f>+Z35+Z30</f>
        <v>69754938</v>
      </c>
      <c r="AA37" s="29">
        <f>+AA35+AA30</f>
        <v>72045583</v>
      </c>
      <c r="AD37" s="28"/>
    </row>
    <row r="38" spans="1:34">
      <c r="C38" s="68"/>
      <c r="D38" s="68"/>
      <c r="E38" s="53"/>
      <c r="F38" s="53"/>
      <c r="G38" s="53"/>
      <c r="H38" s="53"/>
      <c r="I38" s="53"/>
      <c r="J38" s="53"/>
      <c r="K38" s="53"/>
      <c r="L38" s="53"/>
      <c r="M38" s="53"/>
      <c r="N38" s="53"/>
      <c r="O38" s="53"/>
      <c r="P38" s="53"/>
      <c r="Q38" s="53"/>
      <c r="R38" s="53"/>
      <c r="S38" s="53"/>
      <c r="T38" s="53"/>
      <c r="U38" s="53"/>
      <c r="V38" s="53"/>
      <c r="W38" s="53"/>
      <c r="X38" s="53"/>
      <c r="Y38" s="53"/>
      <c r="Z38" s="53"/>
      <c r="AA38" s="53"/>
    </row>
    <row r="39" spans="1:34" ht="24">
      <c r="A39" s="187" t="s">
        <v>208</v>
      </c>
      <c r="B39" s="187" t="s">
        <v>213</v>
      </c>
      <c r="C39" s="102" t="s">
        <v>189</v>
      </c>
      <c r="D39" s="102" t="s">
        <v>191</v>
      </c>
      <c r="E39" s="102" t="s">
        <v>197</v>
      </c>
      <c r="F39" s="102" t="s">
        <v>215</v>
      </c>
      <c r="G39" s="102" t="s">
        <v>219</v>
      </c>
      <c r="H39" s="102" t="s">
        <v>237</v>
      </c>
      <c r="I39" s="102" t="s">
        <v>240</v>
      </c>
      <c r="J39" s="102" t="s">
        <v>243</v>
      </c>
      <c r="K39" s="102" t="s">
        <v>245</v>
      </c>
      <c r="L39" s="102" t="s">
        <v>253</v>
      </c>
      <c r="M39" s="102" t="s">
        <v>256</v>
      </c>
      <c r="N39" s="102" t="s">
        <v>260</v>
      </c>
      <c r="O39" s="102" t="s">
        <v>262</v>
      </c>
      <c r="P39" s="102" t="s">
        <v>273</v>
      </c>
      <c r="Q39" s="102" t="s">
        <v>276</v>
      </c>
      <c r="R39" s="102" t="s">
        <v>283</v>
      </c>
      <c r="S39" s="186" t="s">
        <v>355</v>
      </c>
      <c r="T39" s="186" t="s">
        <v>366</v>
      </c>
      <c r="U39" s="186" t="s">
        <v>414</v>
      </c>
      <c r="V39" s="186" t="s">
        <v>419</v>
      </c>
      <c r="W39" s="186" t="s">
        <v>422</v>
      </c>
      <c r="X39" s="186" t="s">
        <v>432</v>
      </c>
      <c r="Y39" s="186" t="s">
        <v>436</v>
      </c>
      <c r="Z39" s="186" t="s">
        <v>442</v>
      </c>
      <c r="AA39" s="186" t="s">
        <v>442</v>
      </c>
    </row>
    <row r="40" spans="1:34">
      <c r="A40" s="184" t="s">
        <v>199</v>
      </c>
      <c r="B40" s="184" t="s">
        <v>209</v>
      </c>
      <c r="C40" s="20">
        <v>325178.53782999999</v>
      </c>
      <c r="D40" s="20">
        <v>235999.69176000002</v>
      </c>
      <c r="E40" s="20">
        <v>240969.14009</v>
      </c>
      <c r="F40" s="20">
        <v>215808.15065000008</v>
      </c>
      <c r="G40" s="20">
        <v>172747.93235999998</v>
      </c>
      <c r="H40" s="20">
        <v>155845.44564000005</v>
      </c>
      <c r="I40" s="20">
        <v>151603.61952999991</v>
      </c>
      <c r="J40" s="20">
        <v>206702.21825999999</v>
      </c>
      <c r="K40" s="20">
        <v>229627.52849999999</v>
      </c>
      <c r="L40" s="20">
        <v>252877.38209</v>
      </c>
      <c r="M40" s="20">
        <v>208731.92252999998</v>
      </c>
      <c r="N40" s="20">
        <v>204249.1277500001</v>
      </c>
      <c r="O40" s="20">
        <v>427019.60679999995</v>
      </c>
      <c r="P40" s="20">
        <v>628379.59853000008</v>
      </c>
      <c r="Q40" s="20">
        <v>725459.60420000018</v>
      </c>
      <c r="R40" s="20">
        <v>756442.81199999992</v>
      </c>
      <c r="S40" s="20">
        <v>748359.92855999991</v>
      </c>
      <c r="T40" s="20">
        <v>863214.91701999982</v>
      </c>
      <c r="U40" s="20">
        <v>826269.55774999945</v>
      </c>
      <c r="V40" s="20">
        <v>892206.71239</v>
      </c>
      <c r="W40" s="20">
        <v>855738.11329000001</v>
      </c>
      <c r="X40" s="20">
        <v>1070157.5</v>
      </c>
      <c r="Y40" s="20">
        <v>1200712.7</v>
      </c>
      <c r="Z40" s="20">
        <v>1167730</v>
      </c>
      <c r="AA40" s="20">
        <v>1343161.07057</v>
      </c>
    </row>
    <row r="41" spans="1:34">
      <c r="A41" s="184" t="s">
        <v>200</v>
      </c>
      <c r="B41" s="184" t="s">
        <v>210</v>
      </c>
      <c r="C41" s="20">
        <v>446790.32225999999</v>
      </c>
      <c r="D41" s="20">
        <v>516117.94455000019</v>
      </c>
      <c r="E41" s="20">
        <v>577626.35250000004</v>
      </c>
      <c r="F41" s="20">
        <v>589479.70348000014</v>
      </c>
      <c r="G41" s="20">
        <v>674352.51968000014</v>
      </c>
      <c r="H41" s="20">
        <v>669269.74951999995</v>
      </c>
      <c r="I41" s="20">
        <v>583853.86268999986</v>
      </c>
      <c r="J41" s="20">
        <v>556571.69283000031</v>
      </c>
      <c r="K41" s="20">
        <v>619160.93426000001</v>
      </c>
      <c r="L41" s="20">
        <v>647430.63153999997</v>
      </c>
      <c r="M41" s="20">
        <v>512173.24245999998</v>
      </c>
      <c r="N41" s="20">
        <v>486063.92428000073</v>
      </c>
      <c r="O41" s="20">
        <v>557605.47565000004</v>
      </c>
      <c r="P41" s="20">
        <v>571966.86201000016</v>
      </c>
      <c r="Q41" s="20">
        <v>599350.85854999989</v>
      </c>
      <c r="R41" s="20">
        <v>575054.24468999973</v>
      </c>
      <c r="S41" s="20">
        <v>769005.90110000002</v>
      </c>
      <c r="T41" s="20">
        <v>821486.45424000011</v>
      </c>
      <c r="U41" s="20">
        <v>810059.19527999987</v>
      </c>
      <c r="V41" s="20">
        <v>808994.8036199999</v>
      </c>
      <c r="W41" s="20">
        <v>988453.46557999996</v>
      </c>
      <c r="X41" s="20">
        <v>1309140.2</v>
      </c>
      <c r="Y41" s="20">
        <v>1548745.983</v>
      </c>
      <c r="Z41" s="20">
        <v>11162606.851</v>
      </c>
      <c r="AA41" s="20">
        <v>1297170.05165</v>
      </c>
    </row>
    <row r="42" spans="1:34">
      <c r="A42" s="184" t="s">
        <v>201</v>
      </c>
      <c r="B42" s="184" t="s">
        <v>211</v>
      </c>
      <c r="C42" s="20">
        <v>501024.54350403801</v>
      </c>
      <c r="D42" s="20">
        <v>581151.37171175738</v>
      </c>
      <c r="E42" s="20">
        <v>651514.77243446303</v>
      </c>
      <c r="F42" s="20">
        <v>518718.54961397988</v>
      </c>
      <c r="G42" s="20">
        <v>538256.36392365268</v>
      </c>
      <c r="H42" s="20">
        <v>632994.77458088647</v>
      </c>
      <c r="I42" s="20">
        <v>575674.92971072299</v>
      </c>
      <c r="J42" s="20">
        <v>715169.06928203581</v>
      </c>
      <c r="K42" s="20">
        <v>635910.98789117998</v>
      </c>
      <c r="L42" s="20">
        <v>650777.29897475825</v>
      </c>
      <c r="M42" s="20">
        <v>653296.76105166506</v>
      </c>
      <c r="N42" s="20">
        <v>702909.24547111779</v>
      </c>
      <c r="O42" s="20">
        <v>689845.82016191189</v>
      </c>
      <c r="P42" s="20">
        <v>755184.20550445095</v>
      </c>
      <c r="Q42" s="20">
        <v>751176.81744054402</v>
      </c>
      <c r="R42" s="20">
        <v>837512.97619112395</v>
      </c>
      <c r="S42" s="20">
        <v>802209.19985499594</v>
      </c>
      <c r="T42" s="20">
        <v>856462.69321789488</v>
      </c>
      <c r="U42" s="20">
        <v>781231.49213835201</v>
      </c>
      <c r="V42" s="20">
        <v>1063792.364628139</v>
      </c>
      <c r="W42" s="20">
        <v>862398.04227112699</v>
      </c>
      <c r="X42" s="20">
        <v>896559.18792210333</v>
      </c>
      <c r="Y42" s="20">
        <v>748760.47972563142</v>
      </c>
      <c r="Z42" s="20">
        <v>962995.00216276757</v>
      </c>
      <c r="AA42" s="20">
        <v>618296.73819516413</v>
      </c>
    </row>
    <row r="43" spans="1:34">
      <c r="A43" s="184" t="s">
        <v>202</v>
      </c>
      <c r="B43" s="184" t="s">
        <v>212</v>
      </c>
      <c r="C43" s="20">
        <v>2584293.4007299999</v>
      </c>
      <c r="D43" s="20">
        <v>2900135.1494700005</v>
      </c>
      <c r="E43" s="20">
        <v>3126147.7364299987</v>
      </c>
      <c r="F43" s="20">
        <v>3511125.0124900006</v>
      </c>
      <c r="G43" s="20">
        <v>3029360.81666</v>
      </c>
      <c r="H43" s="20">
        <v>3159558.2165400004</v>
      </c>
      <c r="I43" s="20">
        <v>3438822.7824599994</v>
      </c>
      <c r="J43" s="20">
        <v>3833821.6627799999</v>
      </c>
      <c r="K43" s="20">
        <v>3473500.4588799998</v>
      </c>
      <c r="L43" s="20">
        <v>3709123.6136500007</v>
      </c>
      <c r="M43" s="20">
        <v>3703389.9756899988</v>
      </c>
      <c r="N43" s="20">
        <v>3754055.8879300002</v>
      </c>
      <c r="O43" s="20">
        <v>3756901.8097799998</v>
      </c>
      <c r="P43" s="20">
        <v>4221949.3301499989</v>
      </c>
      <c r="Q43" s="20">
        <v>4302664.0128199998</v>
      </c>
      <c r="R43" s="20">
        <v>4512463.0767099988</v>
      </c>
      <c r="S43" s="20">
        <v>4599784.0835999995</v>
      </c>
      <c r="T43" s="20">
        <v>4840869.1718499996</v>
      </c>
      <c r="U43" s="20">
        <v>4832390.8778399993</v>
      </c>
      <c r="V43" s="20">
        <v>5493946.3510800023</v>
      </c>
      <c r="W43" s="20">
        <v>4927104.9210599903</v>
      </c>
      <c r="X43" s="20">
        <v>5300854.0608600099</v>
      </c>
      <c r="Y43" s="20">
        <v>5144500.5081099998</v>
      </c>
      <c r="Z43" s="20">
        <v>5670938.5808799993</v>
      </c>
      <c r="AA43" s="20">
        <v>5207709.4682700001</v>
      </c>
    </row>
    <row r="44" spans="1:34">
      <c r="T44" s="140"/>
      <c r="U44" s="140"/>
      <c r="V44" s="140"/>
      <c r="W44" s="140"/>
      <c r="X44" s="140"/>
      <c r="Y44" s="140"/>
      <c r="Z44" s="140"/>
      <c r="AA44" s="140"/>
      <c r="AE44" s="28"/>
    </row>
    <row r="45" spans="1:34">
      <c r="T45" s="140"/>
      <c r="U45" s="140"/>
      <c r="V45" s="140"/>
      <c r="W45" s="140"/>
      <c r="X45" s="140"/>
      <c r="Y45" s="140"/>
      <c r="Z45" s="140"/>
      <c r="AA45" s="140"/>
      <c r="AE45" s="28"/>
    </row>
    <row r="46" spans="1:34">
      <c r="T46" s="140"/>
      <c r="U46" s="140"/>
      <c r="V46" s="140"/>
      <c r="W46" s="140"/>
      <c r="X46" s="140"/>
      <c r="Y46" s="140"/>
      <c r="Z46" s="140"/>
      <c r="AA46" s="140"/>
      <c r="AE46" s="28"/>
    </row>
    <row r="47" spans="1:34" ht="12.5" thickBot="1">
      <c r="A47" s="187" t="s">
        <v>91</v>
      </c>
      <c r="B47" s="187" t="s">
        <v>174</v>
      </c>
      <c r="C47" s="102" t="s">
        <v>190</v>
      </c>
      <c r="D47" s="102" t="s">
        <v>193</v>
      </c>
      <c r="E47" s="102" t="s">
        <v>198</v>
      </c>
      <c r="F47" s="102" t="s">
        <v>214</v>
      </c>
      <c r="G47" s="102" t="s">
        <v>220</v>
      </c>
      <c r="H47" s="102" t="s">
        <v>236</v>
      </c>
      <c r="I47" s="102" t="s">
        <v>241</v>
      </c>
      <c r="J47" s="102" t="s">
        <v>244</v>
      </c>
      <c r="K47" s="102" t="s">
        <v>246</v>
      </c>
      <c r="L47" s="102" t="s">
        <v>254</v>
      </c>
      <c r="M47" s="102" t="s">
        <v>255</v>
      </c>
      <c r="N47" s="102" t="s">
        <v>261</v>
      </c>
      <c r="O47" s="102" t="s">
        <v>263</v>
      </c>
      <c r="P47" s="102" t="s">
        <v>274</v>
      </c>
      <c r="Q47" s="102" t="s">
        <v>279</v>
      </c>
      <c r="R47" s="102" t="s">
        <v>284</v>
      </c>
      <c r="S47" s="186" t="s">
        <v>314</v>
      </c>
      <c r="T47" s="186" t="s">
        <v>367</v>
      </c>
      <c r="U47" s="186" t="s">
        <v>417</v>
      </c>
      <c r="V47" s="186" t="s">
        <v>420</v>
      </c>
      <c r="W47" s="186" t="s">
        <v>424</v>
      </c>
      <c r="X47" s="186" t="s">
        <v>435</v>
      </c>
      <c r="Y47" s="186" t="s">
        <v>440</v>
      </c>
      <c r="Z47" s="186" t="s">
        <v>446</v>
      </c>
      <c r="AA47" s="186" t="s">
        <v>446</v>
      </c>
      <c r="AE47" s="28"/>
      <c r="AH47" s="28"/>
    </row>
    <row r="48" spans="1:34" ht="12.5" thickBot="1">
      <c r="A48" s="179" t="s">
        <v>82</v>
      </c>
      <c r="B48" s="181" t="s">
        <v>175</v>
      </c>
      <c r="C48" s="29">
        <f t="shared" ref="C48:H48" si="16">+C49+C50</f>
        <v>45320166</v>
      </c>
      <c r="D48" s="29">
        <f t="shared" si="16"/>
        <v>45970077.281099997</v>
      </c>
      <c r="E48" s="29">
        <f t="shared" si="16"/>
        <v>47434828.469020002</v>
      </c>
      <c r="F48" s="29">
        <f t="shared" si="16"/>
        <v>47591243.740669996</v>
      </c>
      <c r="G48" s="29">
        <f t="shared" si="16"/>
        <v>48973195.300719999</v>
      </c>
      <c r="H48" s="29">
        <f t="shared" si="16"/>
        <v>50233616.243989997</v>
      </c>
      <c r="I48" s="29">
        <f>+I49+I50</f>
        <v>51188116</v>
      </c>
      <c r="J48" s="29">
        <f>+J49+J50</f>
        <v>52810389.201919995</v>
      </c>
      <c r="K48" s="29">
        <v>52009985</v>
      </c>
      <c r="L48" s="29">
        <v>53360177</v>
      </c>
      <c r="M48" s="29">
        <v>54297732</v>
      </c>
      <c r="N48" s="29">
        <f>+N49+N50</f>
        <v>55875609.299999997</v>
      </c>
      <c r="O48" s="29">
        <f>+O49+O50</f>
        <v>56375552.604509994</v>
      </c>
      <c r="P48" s="29">
        <f>+P49+P50</f>
        <v>56987958.469630003</v>
      </c>
      <c r="Q48" s="29">
        <f>+Q49+Q50</f>
        <v>56678525.877420001</v>
      </c>
      <c r="R48" s="29">
        <f>+R49+R50</f>
        <v>57273255</v>
      </c>
      <c r="S48" s="29">
        <v>59473880</v>
      </c>
      <c r="T48" s="29">
        <f>+T49+T50</f>
        <v>59831479.286490001</v>
      </c>
      <c r="U48" s="29">
        <f>+U49+U50</f>
        <v>60222668</v>
      </c>
      <c r="V48" s="29">
        <f>+V49+V50</f>
        <v>66243768.815210007</v>
      </c>
      <c r="W48" s="29">
        <f>+W49+W50</f>
        <v>66672619.749835499</v>
      </c>
      <c r="X48" s="29">
        <v>76827811</v>
      </c>
      <c r="Y48" s="29">
        <f>+Y49+Y50</f>
        <v>80341143</v>
      </c>
      <c r="Z48" s="29">
        <f>+Z49+Z50</f>
        <v>81454765</v>
      </c>
      <c r="AA48" s="29">
        <f>+AA49+AA50</f>
        <v>83583600</v>
      </c>
      <c r="AE48" s="28"/>
      <c r="AH48" s="28"/>
    </row>
    <row r="49" spans="1:34" ht="12.5" thickBot="1">
      <c r="A49" s="180" t="s">
        <v>83</v>
      </c>
      <c r="B49" s="182" t="s">
        <v>176</v>
      </c>
      <c r="C49" s="20">
        <v>27762058</v>
      </c>
      <c r="D49" s="20">
        <v>28550569.7665</v>
      </c>
      <c r="E49" s="20">
        <v>29401309.111000001</v>
      </c>
      <c r="F49" s="20">
        <v>29779949.572500002</v>
      </c>
      <c r="G49" s="20">
        <v>30599088.3807</v>
      </c>
      <c r="H49" s="20">
        <v>31785270.081670001</v>
      </c>
      <c r="I49" s="20">
        <v>32945983</v>
      </c>
      <c r="J49" s="20">
        <v>35616412.464299999</v>
      </c>
      <c r="K49" s="20">
        <v>36229446</v>
      </c>
      <c r="L49" s="20">
        <v>37545974</v>
      </c>
      <c r="M49" s="20">
        <v>38227192</v>
      </c>
      <c r="N49" s="20">
        <v>39681704.299999997</v>
      </c>
      <c r="O49" s="20">
        <v>41008935.664700001</v>
      </c>
      <c r="P49" s="20">
        <v>40414346.560000002</v>
      </c>
      <c r="Q49" s="20">
        <v>40081457.182799995</v>
      </c>
      <c r="R49" s="20">
        <v>40343597</v>
      </c>
      <c r="S49" s="20">
        <v>43146054</v>
      </c>
      <c r="T49" s="20">
        <v>43303180.958340004</v>
      </c>
      <c r="U49" s="20">
        <v>44186453</v>
      </c>
      <c r="V49" s="20">
        <v>47730280.466649994</v>
      </c>
      <c r="W49" s="20">
        <v>47827065.052319996</v>
      </c>
      <c r="X49" s="20">
        <v>57638441</v>
      </c>
      <c r="Y49" s="20">
        <v>60598603</v>
      </c>
      <c r="Z49" s="20">
        <v>61091901</v>
      </c>
      <c r="AA49" s="20">
        <v>63328296</v>
      </c>
      <c r="AE49" s="28"/>
      <c r="AH49" s="28"/>
    </row>
    <row r="50" spans="1:34" ht="12.5" thickBot="1">
      <c r="A50" s="180" t="s">
        <v>225</v>
      </c>
      <c r="B50" s="183" t="s">
        <v>177</v>
      </c>
      <c r="C50" s="20">
        <v>17558108</v>
      </c>
      <c r="D50" s="20">
        <v>17419507.514599998</v>
      </c>
      <c r="E50" s="20">
        <v>18033519.35802</v>
      </c>
      <c r="F50" s="20">
        <v>17811294.168169994</v>
      </c>
      <c r="G50" s="20">
        <v>18374106.920019999</v>
      </c>
      <c r="H50" s="20">
        <v>18448346.162319995</v>
      </c>
      <c r="I50" s="20">
        <v>18242133</v>
      </c>
      <c r="J50" s="20">
        <v>17193976.737619996</v>
      </c>
      <c r="K50" s="20">
        <v>15780540</v>
      </c>
      <c r="L50" s="20">
        <v>15814203</v>
      </c>
      <c r="M50" s="20">
        <v>16070540</v>
      </c>
      <c r="N50" s="20">
        <v>16193905</v>
      </c>
      <c r="O50" s="20">
        <v>15366616.939809993</v>
      </c>
      <c r="P50" s="20">
        <v>16573611.909630001</v>
      </c>
      <c r="Q50" s="20">
        <v>16597068.694620006</v>
      </c>
      <c r="R50" s="20">
        <v>16929658</v>
      </c>
      <c r="S50" s="20">
        <v>16327826</v>
      </c>
      <c r="T50" s="20">
        <v>16528298.328149997</v>
      </c>
      <c r="U50" s="20">
        <v>16036215</v>
      </c>
      <c r="V50" s="20">
        <v>18513488.348560013</v>
      </c>
      <c r="W50" s="20">
        <v>18845554.697515503</v>
      </c>
      <c r="X50" s="20">
        <v>19189369</v>
      </c>
      <c r="Y50" s="20">
        <v>19742540</v>
      </c>
      <c r="Z50" s="20">
        <v>20362864</v>
      </c>
      <c r="AA50" s="20">
        <v>20255304</v>
      </c>
      <c r="AC50" s="28"/>
      <c r="AD50" s="28"/>
      <c r="AE50" s="28"/>
      <c r="AH50" s="28"/>
    </row>
    <row r="51" spans="1:34" ht="12.5" thickBot="1">
      <c r="C51" s="81"/>
      <c r="D51" s="81"/>
      <c r="E51" s="81"/>
      <c r="F51" s="81"/>
      <c r="G51" s="81"/>
      <c r="H51" s="81"/>
      <c r="I51" s="81"/>
      <c r="J51" s="81"/>
      <c r="K51" s="81"/>
      <c r="L51" s="81"/>
      <c r="M51" s="81"/>
      <c r="N51" s="81"/>
      <c r="O51" s="81"/>
      <c r="P51" s="81"/>
      <c r="Q51" s="81"/>
      <c r="R51" s="81"/>
      <c r="S51" s="81"/>
      <c r="T51" s="81"/>
      <c r="U51" s="81"/>
      <c r="V51" s="81"/>
      <c r="W51" s="81"/>
      <c r="X51" s="81"/>
      <c r="Y51" s="81"/>
      <c r="Z51" s="81"/>
      <c r="AA51" s="81"/>
      <c r="AE51" s="28"/>
      <c r="AH51" s="28"/>
    </row>
    <row r="52" spans="1:34" ht="12.5" thickBot="1">
      <c r="A52" s="187" t="s">
        <v>228</v>
      </c>
      <c r="B52" s="187" t="s">
        <v>229</v>
      </c>
      <c r="C52" s="59" t="s">
        <v>190</v>
      </c>
      <c r="D52" s="59" t="s">
        <v>193</v>
      </c>
      <c r="E52" s="59" t="s">
        <v>198</v>
      </c>
      <c r="F52" s="59" t="s">
        <v>214</v>
      </c>
      <c r="G52" s="59" t="s">
        <v>220</v>
      </c>
      <c r="H52" s="59" t="s">
        <v>236</v>
      </c>
      <c r="I52" s="59" t="s">
        <v>241</v>
      </c>
      <c r="J52" s="59" t="s">
        <v>244</v>
      </c>
      <c r="K52" s="59" t="s">
        <v>246</v>
      </c>
      <c r="L52" s="59" t="s">
        <v>254</v>
      </c>
      <c r="M52" s="59" t="s">
        <v>255</v>
      </c>
      <c r="N52" s="59" t="s">
        <v>261</v>
      </c>
      <c r="O52" s="59" t="s">
        <v>263</v>
      </c>
      <c r="P52" s="59" t="s">
        <v>274</v>
      </c>
      <c r="Q52" s="59" t="s">
        <v>279</v>
      </c>
      <c r="R52" s="59" t="s">
        <v>284</v>
      </c>
      <c r="S52" s="186" t="s">
        <v>314</v>
      </c>
      <c r="T52" s="186" t="s">
        <v>367</v>
      </c>
      <c r="U52" s="186" t="s">
        <v>417</v>
      </c>
      <c r="V52" s="186" t="s">
        <v>420</v>
      </c>
      <c r="W52" s="186" t="s">
        <v>424</v>
      </c>
      <c r="X52" s="186" t="s">
        <v>435</v>
      </c>
      <c r="Y52" s="186" t="s">
        <v>440</v>
      </c>
      <c r="Z52" s="186" t="s">
        <v>446</v>
      </c>
      <c r="AA52" s="186" t="s">
        <v>446</v>
      </c>
      <c r="AE52" s="28"/>
      <c r="AH52" s="28"/>
    </row>
    <row r="53" spans="1:34" ht="12.5" thickBot="1">
      <c r="A53" s="181" t="s">
        <v>230</v>
      </c>
      <c r="B53" s="181" t="s">
        <v>231</v>
      </c>
      <c r="C53" s="29">
        <v>6559324.2781099994</v>
      </c>
      <c r="D53" s="29">
        <v>6671989</v>
      </c>
      <c r="E53" s="29">
        <v>6733762.0000000009</v>
      </c>
      <c r="F53" s="29">
        <v>6806442.3709199997</v>
      </c>
      <c r="G53" s="29">
        <v>7526840.8761500008</v>
      </c>
      <c r="H53" s="29">
        <v>7765433</v>
      </c>
      <c r="I53" s="29">
        <v>7258080.6532499995</v>
      </c>
      <c r="J53" s="29">
        <v>7243376.8999999994</v>
      </c>
      <c r="K53" s="29">
        <v>6909103.4010600001</v>
      </c>
      <c r="L53" s="29">
        <v>6970981.2922</v>
      </c>
      <c r="M53" s="29">
        <v>7244883</v>
      </c>
      <c r="N53" s="29">
        <v>7379181.0970999999</v>
      </c>
      <c r="O53" s="29">
        <v>7845886.2686300008</v>
      </c>
      <c r="P53" s="29">
        <v>8447565.2095800005</v>
      </c>
      <c r="Q53" s="29">
        <v>8953924.6276699994</v>
      </c>
      <c r="R53" s="29">
        <v>9339052.2520773895</v>
      </c>
      <c r="S53" s="29">
        <v>9606273.7520000003</v>
      </c>
      <c r="T53" s="29">
        <v>9404569.7300000004</v>
      </c>
      <c r="U53" s="29">
        <v>9095506.6760000009</v>
      </c>
      <c r="V53" s="29">
        <v>8479112.3795410004</v>
      </c>
      <c r="W53" s="29">
        <f>+W54+W55+W56</f>
        <v>8805230.6596670002</v>
      </c>
      <c r="X53" s="29">
        <v>8762274.1099999994</v>
      </c>
      <c r="Y53" s="29">
        <f>+Y54+Y55+Y56</f>
        <v>8774467.862275308</v>
      </c>
      <c r="Z53" s="29">
        <f>+Z54+Z55+Z56</f>
        <v>8840550.9887009561</v>
      </c>
      <c r="AA53" s="29">
        <f>+AA54+AA55+AA56</f>
        <v>7116242.7698730202</v>
      </c>
      <c r="AE53" s="28"/>
      <c r="AH53" s="28"/>
    </row>
    <row r="54" spans="1:34" ht="12.5" thickBot="1">
      <c r="A54" s="182" t="s">
        <v>280</v>
      </c>
      <c r="B54" s="182" t="s">
        <v>281</v>
      </c>
      <c r="C54" s="20">
        <v>363400</v>
      </c>
      <c r="D54" s="20">
        <v>347866</v>
      </c>
      <c r="E54" s="20">
        <v>331293</v>
      </c>
      <c r="F54" s="20">
        <v>332443</v>
      </c>
      <c r="G54" s="20">
        <v>327497.13204</v>
      </c>
      <c r="H54" s="20">
        <v>307659</v>
      </c>
      <c r="I54" s="20">
        <v>314978</v>
      </c>
      <c r="J54" s="20">
        <v>301527</v>
      </c>
      <c r="K54" s="20">
        <v>358893</v>
      </c>
      <c r="L54" s="20">
        <v>429025</v>
      </c>
      <c r="M54" s="20">
        <v>404173</v>
      </c>
      <c r="N54" s="20">
        <v>403102</v>
      </c>
      <c r="O54" s="20">
        <v>411444</v>
      </c>
      <c r="P54" s="20">
        <v>428972</v>
      </c>
      <c r="Q54" s="20">
        <v>452898</v>
      </c>
      <c r="R54" s="20">
        <v>457251</v>
      </c>
      <c r="S54" s="20">
        <v>460995</v>
      </c>
      <c r="T54" s="20">
        <v>407343.64799999999</v>
      </c>
      <c r="U54" s="20">
        <v>427581.20699999999</v>
      </c>
      <c r="V54" s="20">
        <v>507589.03103000001</v>
      </c>
      <c r="W54" s="20">
        <v>593758.42929999996</v>
      </c>
      <c r="X54" s="20">
        <v>667976.39300000004</v>
      </c>
      <c r="Y54" s="20">
        <v>639440.32627530803</v>
      </c>
      <c r="Z54" s="20">
        <v>630902.33545456501</v>
      </c>
      <c r="AA54" s="20">
        <v>545092.33219999995</v>
      </c>
      <c r="AE54" s="28"/>
      <c r="AH54" s="28"/>
    </row>
    <row r="55" spans="1:34" ht="12.5" thickBot="1">
      <c r="A55" s="183" t="s">
        <v>232</v>
      </c>
      <c r="B55" s="183" t="s">
        <v>233</v>
      </c>
      <c r="C55" s="20">
        <v>3471418.2779999999</v>
      </c>
      <c r="D55" s="20">
        <v>3526055</v>
      </c>
      <c r="E55" s="20">
        <v>3575310</v>
      </c>
      <c r="F55" s="20">
        <v>3567543.3709200001</v>
      </c>
      <c r="G55" s="20">
        <v>4107116.7441099999</v>
      </c>
      <c r="H55" s="20">
        <v>4202102.0161800003</v>
      </c>
      <c r="I55" s="20">
        <v>3974562.65325</v>
      </c>
      <c r="J55" s="20">
        <v>3969009</v>
      </c>
      <c r="K55" s="20">
        <v>3776891</v>
      </c>
      <c r="L55" s="20">
        <v>3754936.3</v>
      </c>
      <c r="M55" s="20">
        <v>3904080.51</v>
      </c>
      <c r="N55" s="20">
        <v>3982111.1</v>
      </c>
      <c r="O55" s="20">
        <v>4272183.4467700003</v>
      </c>
      <c r="P55" s="20">
        <v>4599591.2095799996</v>
      </c>
      <c r="Q55" s="20">
        <v>4871548.6276700003</v>
      </c>
      <c r="R55" s="20">
        <v>4958807.12096</v>
      </c>
      <c r="S55" s="20">
        <v>4958708.7685599998</v>
      </c>
      <c r="T55" s="20">
        <v>4679382.88</v>
      </c>
      <c r="U55" s="20">
        <v>4403674.90735</v>
      </c>
      <c r="V55" s="20">
        <v>4221978.6551099997</v>
      </c>
      <c r="W55" s="20">
        <v>4466266.9029999999</v>
      </c>
      <c r="X55" s="20">
        <v>4568681.8</v>
      </c>
      <c r="Y55" s="20">
        <v>4534237.6359999999</v>
      </c>
      <c r="Z55" s="20">
        <v>4529254.96361</v>
      </c>
      <c r="AA55" s="20">
        <v>3614521.15644</v>
      </c>
      <c r="AE55" s="28"/>
      <c r="AH55" s="28"/>
    </row>
    <row r="56" spans="1:34" ht="24.5" thickBot="1">
      <c r="A56" s="183" t="s">
        <v>234</v>
      </c>
      <c r="B56" s="183" t="s">
        <v>235</v>
      </c>
      <c r="C56" s="20">
        <v>2724506.0001099994</v>
      </c>
      <c r="D56" s="20">
        <v>2798068</v>
      </c>
      <c r="E56" s="20">
        <v>2827158.9999999995</v>
      </c>
      <c r="F56" s="20">
        <v>2906456</v>
      </c>
      <c r="G56" s="20">
        <v>3092227.0000000005</v>
      </c>
      <c r="H56" s="20">
        <v>3255671.9838199997</v>
      </c>
      <c r="I56" s="20">
        <v>2968540.0000000009</v>
      </c>
      <c r="J56" s="20">
        <v>2972841.0399700003</v>
      </c>
      <c r="K56" s="20">
        <v>2773319.0000000009</v>
      </c>
      <c r="L56" s="20">
        <v>2787020</v>
      </c>
      <c r="M56" s="20">
        <v>2936629.49443</v>
      </c>
      <c r="N56" s="20">
        <v>2993968</v>
      </c>
      <c r="O56" s="20">
        <v>3162258.8218600005</v>
      </c>
      <c r="P56" s="20">
        <v>3419002.0000000009</v>
      </c>
      <c r="Q56" s="20">
        <v>3629478</v>
      </c>
      <c r="R56" s="20">
        <v>3922994.1310999999</v>
      </c>
      <c r="S56" s="20">
        <v>4186569.98</v>
      </c>
      <c r="T56" s="20">
        <v>4317843.2</v>
      </c>
      <c r="U56" s="20">
        <v>4264250.5616530003</v>
      </c>
      <c r="V56" s="20">
        <v>3749544.6934000002</v>
      </c>
      <c r="W56" s="20">
        <f>1604360.278077+2140845.04929</f>
        <v>3745205.3273670003</v>
      </c>
      <c r="X56" s="20">
        <v>3525615.9213800002</v>
      </c>
      <c r="Y56" s="20">
        <v>3600789.9</v>
      </c>
      <c r="Z56" s="20">
        <v>3680393.6896363902</v>
      </c>
      <c r="AA56" s="20">
        <v>2956629.2812330201</v>
      </c>
      <c r="AE56" s="28"/>
      <c r="AH56" s="28"/>
    </row>
    <row r="57" spans="1:34">
      <c r="C57" s="82"/>
      <c r="D57" s="82"/>
      <c r="E57" s="82"/>
      <c r="F57" s="82"/>
      <c r="G57" s="82"/>
      <c r="H57" s="82"/>
      <c r="I57" s="82"/>
      <c r="J57" s="82"/>
      <c r="K57" s="82"/>
      <c r="L57" s="82"/>
      <c r="M57" s="82"/>
      <c r="N57" s="82"/>
      <c r="O57" s="82"/>
      <c r="P57" s="82"/>
      <c r="Q57" s="82"/>
      <c r="R57" s="82"/>
      <c r="S57" s="82"/>
      <c r="T57" s="82"/>
      <c r="U57" s="82"/>
      <c r="V57" s="82"/>
      <c r="W57" s="82"/>
      <c r="X57" s="82"/>
      <c r="Y57" s="82"/>
      <c r="Z57" s="82"/>
      <c r="AA57" s="82"/>
      <c r="AC57" s="81"/>
      <c r="AE57" s="28"/>
      <c r="AH57" s="28"/>
    </row>
    <row r="58" spans="1:34">
      <c r="A58" s="30"/>
      <c r="B58" s="30"/>
      <c r="S58" s="28"/>
      <c r="T58" s="28"/>
      <c r="U58" s="28"/>
      <c r="V58" s="28"/>
      <c r="W58" s="28"/>
      <c r="X58" s="28"/>
      <c r="Y58" s="28"/>
      <c r="Z58" s="28"/>
      <c r="AA58" s="28"/>
      <c r="AE58" s="28"/>
      <c r="AH58" s="28"/>
    </row>
    <row r="59" spans="1:34">
      <c r="C59" s="61"/>
      <c r="D59" s="61"/>
      <c r="E59" s="53"/>
      <c r="F59" s="53"/>
      <c r="G59" s="53"/>
      <c r="H59" s="53"/>
      <c r="I59" s="53"/>
      <c r="J59" s="53"/>
      <c r="K59" s="53"/>
      <c r="L59" s="53"/>
      <c r="M59" s="53"/>
      <c r="N59" s="53"/>
      <c r="O59" s="53"/>
      <c r="P59" s="53"/>
      <c r="Q59" s="53"/>
      <c r="R59" s="53"/>
      <c r="S59" s="158"/>
      <c r="T59" s="158"/>
      <c r="U59" s="158"/>
      <c r="V59" s="158"/>
      <c r="W59" s="158"/>
      <c r="X59" s="158"/>
      <c r="Y59" s="158"/>
      <c r="Z59" s="158"/>
      <c r="AA59" s="158"/>
      <c r="AE59" s="28"/>
    </row>
    <row r="60" spans="1:34">
      <c r="C60" s="63"/>
      <c r="D60" s="63"/>
      <c r="E60" s="53"/>
      <c r="F60" s="53"/>
      <c r="G60" s="53"/>
      <c r="H60" s="53"/>
      <c r="I60" s="53"/>
      <c r="J60" s="53"/>
      <c r="K60" s="53"/>
      <c r="L60" s="53"/>
      <c r="M60" s="53"/>
      <c r="N60" s="53"/>
      <c r="O60" s="53"/>
      <c r="P60" s="53"/>
      <c r="Q60" s="53"/>
      <c r="R60" s="53"/>
      <c r="S60" s="158"/>
      <c r="T60" s="158"/>
      <c r="U60" s="158"/>
      <c r="V60" s="158"/>
      <c r="W60" s="158"/>
      <c r="X60" s="158"/>
      <c r="Y60" s="158"/>
      <c r="Z60" s="158"/>
      <c r="AA60" s="158"/>
    </row>
    <row r="61" spans="1:34">
      <c r="C61" s="61"/>
      <c r="D61" s="62"/>
      <c r="E61" s="53"/>
      <c r="F61" s="53"/>
      <c r="G61" s="53"/>
      <c r="H61" s="53"/>
      <c r="I61" s="53"/>
      <c r="J61" s="53"/>
      <c r="K61" s="53"/>
      <c r="L61" s="53"/>
      <c r="M61" s="53"/>
      <c r="N61" s="53"/>
      <c r="O61" s="53"/>
      <c r="P61" s="53"/>
      <c r="Q61" s="53"/>
      <c r="R61" s="53"/>
      <c r="S61" s="158"/>
      <c r="T61" s="158"/>
      <c r="U61" s="158"/>
      <c r="V61" s="158"/>
      <c r="W61" s="158"/>
      <c r="X61" s="158"/>
      <c r="Y61" s="158"/>
      <c r="Z61" s="158"/>
      <c r="AA61" s="158"/>
    </row>
    <row r="62" spans="1:34">
      <c r="C62" s="61"/>
      <c r="D62" s="61"/>
      <c r="E62" s="53"/>
      <c r="F62" s="53"/>
      <c r="G62" s="53"/>
      <c r="H62" s="53"/>
      <c r="I62" s="53"/>
      <c r="J62" s="53"/>
      <c r="K62" s="53"/>
      <c r="L62" s="53"/>
      <c r="M62" s="53"/>
      <c r="N62" s="53"/>
      <c r="O62" s="53"/>
      <c r="P62" s="53"/>
      <c r="Q62" s="53"/>
      <c r="R62" s="53"/>
      <c r="S62" s="158"/>
      <c r="T62" s="28"/>
      <c r="U62" s="28"/>
      <c r="V62" s="28"/>
      <c r="W62" s="28"/>
      <c r="X62" s="28"/>
      <c r="Y62" s="28"/>
      <c r="Z62" s="28"/>
    </row>
    <row r="63" spans="1:34">
      <c r="C63" s="61"/>
      <c r="D63" s="61"/>
      <c r="E63" s="53"/>
      <c r="F63" s="53"/>
      <c r="G63" s="53"/>
      <c r="H63" s="53"/>
      <c r="I63" s="53"/>
      <c r="J63" s="53"/>
      <c r="K63" s="53"/>
      <c r="L63" s="53"/>
      <c r="M63" s="53"/>
      <c r="N63" s="53"/>
      <c r="O63" s="53"/>
      <c r="P63" s="53"/>
      <c r="Q63" s="53"/>
      <c r="R63" s="53"/>
      <c r="S63" s="158"/>
      <c r="T63" s="28"/>
      <c r="U63" s="28"/>
      <c r="V63" s="28"/>
      <c r="W63" s="28"/>
      <c r="X63" s="28"/>
      <c r="Y63" s="28"/>
      <c r="Z63" s="28"/>
    </row>
    <row r="64" spans="1:34">
      <c r="C64" s="61"/>
      <c r="D64" s="61"/>
      <c r="E64" s="53"/>
      <c r="F64" s="53"/>
      <c r="G64" s="53"/>
      <c r="H64" s="53"/>
      <c r="I64" s="53"/>
      <c r="J64" s="53"/>
      <c r="K64" s="53"/>
      <c r="L64" s="53"/>
      <c r="M64" s="53"/>
      <c r="N64" s="53"/>
      <c r="O64" s="53"/>
      <c r="P64" s="53"/>
      <c r="Q64" s="53"/>
      <c r="R64" s="53"/>
      <c r="S64" s="158"/>
      <c r="T64" s="28"/>
      <c r="U64" s="28"/>
      <c r="V64" s="28"/>
      <c r="W64" s="28"/>
      <c r="X64" s="28"/>
      <c r="Y64" s="28"/>
      <c r="Z64" s="28"/>
    </row>
    <row r="65" spans="3:26">
      <c r="C65" s="61"/>
      <c r="D65" s="61"/>
      <c r="E65" s="53"/>
      <c r="F65" s="53"/>
      <c r="G65" s="53"/>
      <c r="H65" s="53"/>
      <c r="I65" s="53"/>
      <c r="J65" s="53"/>
      <c r="K65" s="53"/>
      <c r="L65" s="53"/>
      <c r="M65" s="53"/>
      <c r="N65" s="53"/>
      <c r="O65" s="53"/>
      <c r="P65" s="53"/>
      <c r="Q65" s="53"/>
      <c r="R65" s="53"/>
      <c r="S65" s="53"/>
    </row>
    <row r="66" spans="3:26">
      <c r="C66" s="61"/>
      <c r="D66" s="61"/>
      <c r="E66" s="53"/>
      <c r="F66" s="53"/>
      <c r="G66" s="53"/>
      <c r="H66" s="53"/>
      <c r="I66" s="53"/>
      <c r="J66" s="53"/>
      <c r="K66" s="53"/>
      <c r="L66" s="53"/>
      <c r="M66" s="53"/>
      <c r="N66" s="53"/>
      <c r="O66" s="53"/>
      <c r="P66" s="53"/>
      <c r="Q66" s="53"/>
      <c r="S66" s="27"/>
      <c r="T66" s="27"/>
      <c r="U66" s="27"/>
      <c r="V66" s="27"/>
      <c r="W66" s="27"/>
      <c r="X66" s="27"/>
      <c r="Y66" s="27"/>
      <c r="Z66" s="27"/>
    </row>
    <row r="67" spans="3:26">
      <c r="C67" s="61"/>
      <c r="D67" s="61"/>
      <c r="E67" s="53"/>
      <c r="F67" s="53"/>
      <c r="G67" s="53"/>
      <c r="H67" s="53"/>
      <c r="I67" s="53"/>
      <c r="J67" s="53"/>
      <c r="K67" s="53"/>
      <c r="L67" s="53"/>
      <c r="M67" s="53"/>
      <c r="N67" s="53"/>
      <c r="O67" s="53"/>
      <c r="P67" s="53"/>
      <c r="Q67" s="53"/>
      <c r="R67" s="53"/>
      <c r="S67" s="27"/>
      <c r="T67" s="27"/>
      <c r="U67" s="27"/>
      <c r="V67" s="27"/>
      <c r="W67" s="27"/>
      <c r="X67" s="27"/>
      <c r="Y67" s="27"/>
      <c r="Z67" s="27"/>
    </row>
    <row r="68" spans="3:26">
      <c r="C68" s="61"/>
      <c r="D68" s="61"/>
      <c r="E68" s="53"/>
      <c r="F68" s="53"/>
      <c r="G68" s="53"/>
      <c r="H68" s="53"/>
      <c r="I68" s="53"/>
      <c r="J68" s="53"/>
      <c r="K68" s="53"/>
      <c r="L68" s="53"/>
      <c r="M68" s="53"/>
      <c r="N68" s="53"/>
      <c r="O68" s="53"/>
      <c r="P68" s="53"/>
      <c r="Q68" s="53"/>
      <c r="R68" s="53"/>
      <c r="S68" s="27"/>
      <c r="T68" s="27"/>
      <c r="U68" s="27"/>
      <c r="V68" s="27"/>
      <c r="W68" s="27"/>
      <c r="X68" s="27"/>
      <c r="Y68" s="27"/>
      <c r="Z68" s="27"/>
    </row>
    <row r="69" spans="3:26">
      <c r="C69" s="61"/>
      <c r="D69" s="61"/>
      <c r="E69" s="53"/>
      <c r="F69" s="53"/>
      <c r="G69" s="53"/>
      <c r="H69" s="53"/>
      <c r="I69" s="53"/>
      <c r="J69" s="53"/>
      <c r="K69" s="53"/>
      <c r="L69" s="53"/>
      <c r="M69" s="53"/>
      <c r="N69" s="53"/>
      <c r="O69" s="53"/>
      <c r="P69" s="53"/>
      <c r="Q69" s="53"/>
      <c r="R69" s="53"/>
      <c r="S69" s="27"/>
      <c r="T69" s="27"/>
      <c r="U69" s="27"/>
      <c r="V69" s="27"/>
      <c r="W69" s="27"/>
      <c r="X69" s="27"/>
      <c r="Y69" s="27"/>
      <c r="Z69" s="27"/>
    </row>
    <row r="70" spans="3:26">
      <c r="C70" s="61"/>
      <c r="D70" s="61"/>
      <c r="E70" s="53"/>
      <c r="F70" s="53"/>
      <c r="G70" s="53"/>
      <c r="H70" s="53"/>
      <c r="I70" s="53"/>
      <c r="J70" s="53"/>
      <c r="K70" s="53"/>
      <c r="L70" s="53"/>
      <c r="M70" s="53"/>
      <c r="N70" s="53"/>
      <c r="O70" s="53"/>
      <c r="P70" s="53"/>
      <c r="Q70" s="53"/>
      <c r="R70" s="61"/>
      <c r="S70" s="27"/>
      <c r="T70" s="27"/>
      <c r="U70" s="27"/>
      <c r="V70" s="27"/>
      <c r="W70" s="27"/>
      <c r="X70" s="27"/>
      <c r="Y70" s="27"/>
      <c r="Z70" s="27"/>
    </row>
    <row r="71" spans="3:26">
      <c r="C71" s="63"/>
      <c r="D71" s="63"/>
      <c r="E71" s="53"/>
      <c r="F71" s="53"/>
      <c r="G71" s="53"/>
      <c r="H71" s="53"/>
      <c r="I71" s="53"/>
      <c r="J71" s="53"/>
      <c r="K71" s="53"/>
      <c r="L71" s="53"/>
      <c r="M71" s="53"/>
      <c r="N71" s="53"/>
      <c r="O71" s="53"/>
      <c r="P71" s="53"/>
      <c r="Q71" s="53"/>
      <c r="R71" s="61"/>
      <c r="S71" s="27"/>
      <c r="T71" s="27"/>
      <c r="U71" s="27"/>
      <c r="V71" s="27"/>
      <c r="W71" s="27"/>
      <c r="X71" s="27"/>
      <c r="Y71" s="27"/>
      <c r="Z71" s="27"/>
    </row>
    <row r="72" spans="3:26">
      <c r="C72" s="61"/>
      <c r="D72" s="62"/>
      <c r="E72" s="53"/>
      <c r="F72" s="53"/>
      <c r="G72" s="53"/>
      <c r="H72" s="53"/>
      <c r="I72" s="53"/>
      <c r="J72" s="53"/>
      <c r="K72" s="53"/>
      <c r="L72" s="53"/>
      <c r="M72" s="53"/>
      <c r="N72" s="53"/>
      <c r="O72" s="53"/>
      <c r="P72" s="53"/>
      <c r="Q72" s="53"/>
      <c r="R72" s="61"/>
      <c r="S72" s="27"/>
      <c r="T72" s="27"/>
      <c r="U72" s="27"/>
      <c r="V72" s="27"/>
      <c r="W72" s="27"/>
      <c r="X72" s="27"/>
      <c r="Y72" s="27"/>
      <c r="Z72" s="27"/>
    </row>
    <row r="73" spans="3:26">
      <c r="C73" s="61"/>
      <c r="D73" s="61"/>
      <c r="E73" s="53"/>
      <c r="F73" s="53"/>
      <c r="G73" s="53"/>
      <c r="H73" s="53"/>
      <c r="I73" s="53"/>
      <c r="J73" s="53"/>
      <c r="K73" s="53"/>
      <c r="L73" s="53"/>
      <c r="M73" s="53"/>
      <c r="N73" s="53"/>
      <c r="O73" s="53"/>
      <c r="P73" s="53"/>
      <c r="Q73" s="53"/>
      <c r="R73" s="61"/>
      <c r="S73" s="28"/>
      <c r="T73" s="28"/>
      <c r="U73" s="28"/>
      <c r="V73" s="28"/>
      <c r="W73" s="28"/>
      <c r="X73" s="28"/>
      <c r="Y73" s="28"/>
      <c r="Z73" s="28"/>
    </row>
    <row r="74" spans="3:26">
      <c r="C74" s="61"/>
      <c r="D74" s="61"/>
      <c r="E74" s="53"/>
      <c r="F74" s="53"/>
      <c r="G74" s="53"/>
      <c r="H74" s="53"/>
      <c r="I74" s="53"/>
      <c r="J74" s="53"/>
      <c r="K74" s="53"/>
      <c r="L74" s="53"/>
      <c r="M74" s="53"/>
      <c r="N74" s="53"/>
      <c r="O74" s="53"/>
      <c r="P74" s="53"/>
      <c r="Q74" s="53"/>
      <c r="R74" s="63"/>
      <c r="S74" s="28"/>
      <c r="T74" s="28"/>
      <c r="U74" s="28"/>
      <c r="V74" s="28"/>
      <c r="W74" s="28"/>
      <c r="X74" s="28"/>
      <c r="Y74" s="28"/>
      <c r="Z74" s="28"/>
    </row>
    <row r="75" spans="3:26">
      <c r="C75" s="63"/>
      <c r="D75" s="63"/>
      <c r="E75" s="53"/>
      <c r="F75" s="53"/>
      <c r="G75" s="53"/>
      <c r="H75" s="53"/>
      <c r="I75" s="53"/>
      <c r="J75" s="53"/>
      <c r="K75" s="53"/>
      <c r="L75" s="53"/>
      <c r="M75" s="53"/>
      <c r="N75" s="53"/>
      <c r="O75" s="53"/>
      <c r="P75" s="53"/>
      <c r="Q75" s="53"/>
      <c r="R75" s="53"/>
      <c r="S75" s="53"/>
    </row>
    <row r="76" spans="3:26">
      <c r="C76" s="64"/>
      <c r="D76" s="61"/>
      <c r="E76" s="53"/>
      <c r="F76" s="53"/>
      <c r="G76" s="53"/>
      <c r="H76" s="53"/>
      <c r="I76" s="53"/>
      <c r="J76" s="53"/>
      <c r="K76" s="53"/>
      <c r="L76" s="53"/>
      <c r="M76" s="53"/>
      <c r="N76" s="53"/>
      <c r="O76" s="53"/>
      <c r="P76" s="53"/>
      <c r="Q76" s="53"/>
      <c r="R76" s="53"/>
      <c r="S76" s="28"/>
      <c r="T76" s="28"/>
      <c r="U76" s="28"/>
      <c r="V76" s="28"/>
      <c r="W76" s="28"/>
      <c r="X76" s="28"/>
      <c r="Y76" s="28"/>
      <c r="Z76" s="28"/>
    </row>
    <row r="77" spans="3:26">
      <c r="C77" s="63"/>
      <c r="D77" s="63"/>
      <c r="E77" s="53"/>
      <c r="F77" s="53"/>
      <c r="G77" s="53"/>
      <c r="H77" s="53"/>
      <c r="I77" s="53"/>
      <c r="J77" s="53"/>
      <c r="K77" s="53"/>
      <c r="L77" s="53"/>
      <c r="M77" s="53"/>
      <c r="N77" s="53"/>
      <c r="O77" s="53"/>
      <c r="P77" s="53"/>
      <c r="Q77" s="53"/>
      <c r="R77" s="53"/>
      <c r="S77" s="28"/>
      <c r="T77" s="28"/>
      <c r="U77" s="28"/>
      <c r="V77" s="28"/>
      <c r="W77" s="28"/>
      <c r="X77" s="28"/>
      <c r="Y77" s="28"/>
      <c r="Z77" s="28"/>
    </row>
    <row r="78" spans="3:26">
      <c r="C78" s="61"/>
      <c r="D78" s="62"/>
      <c r="E78" s="53"/>
      <c r="F78" s="53"/>
      <c r="G78" s="53"/>
      <c r="H78" s="53"/>
      <c r="I78" s="53"/>
      <c r="J78" s="53"/>
      <c r="K78" s="53"/>
      <c r="L78" s="53"/>
      <c r="M78" s="53"/>
      <c r="N78" s="53"/>
      <c r="O78" s="53"/>
      <c r="P78" s="53"/>
      <c r="Q78" s="53"/>
      <c r="R78" s="53"/>
      <c r="S78" s="28"/>
      <c r="T78" s="28"/>
      <c r="U78" s="28"/>
      <c r="V78" s="28"/>
      <c r="W78" s="28"/>
      <c r="X78" s="28"/>
      <c r="Y78" s="28"/>
      <c r="Z78" s="28"/>
    </row>
    <row r="79" spans="3:26">
      <c r="C79" s="65"/>
      <c r="D79" s="63"/>
      <c r="E79" s="53"/>
      <c r="F79" s="53"/>
      <c r="G79" s="53"/>
      <c r="H79" s="53"/>
      <c r="I79" s="53"/>
      <c r="J79" s="53"/>
      <c r="K79" s="53"/>
      <c r="L79" s="53"/>
      <c r="M79" s="53"/>
      <c r="N79" s="53"/>
      <c r="O79" s="53"/>
      <c r="P79" s="53"/>
      <c r="Q79" s="53"/>
      <c r="R79" s="53"/>
      <c r="S79" s="28"/>
      <c r="T79" s="28"/>
      <c r="U79" s="28"/>
      <c r="V79" s="28"/>
      <c r="W79" s="28"/>
      <c r="X79" s="28"/>
      <c r="Y79" s="28"/>
      <c r="Z79" s="28"/>
    </row>
    <row r="80" spans="3:26">
      <c r="C80" s="64"/>
      <c r="D80" s="61"/>
      <c r="E80" s="53"/>
      <c r="F80" s="53"/>
      <c r="G80" s="53"/>
      <c r="H80" s="53"/>
      <c r="I80" s="53"/>
      <c r="J80" s="53"/>
      <c r="K80" s="53"/>
      <c r="L80" s="53"/>
      <c r="M80" s="53"/>
      <c r="N80" s="53"/>
      <c r="O80" s="53"/>
      <c r="P80" s="53"/>
      <c r="Q80" s="53"/>
      <c r="R80" s="53"/>
      <c r="S80" s="28"/>
      <c r="T80" s="28"/>
      <c r="U80" s="28"/>
      <c r="V80" s="28"/>
      <c r="W80" s="28"/>
      <c r="X80" s="28"/>
      <c r="Y80" s="28"/>
      <c r="Z80" s="28"/>
    </row>
    <row r="81" spans="3:26">
      <c r="C81" s="61"/>
      <c r="D81" s="61"/>
      <c r="E81" s="53"/>
      <c r="F81" s="53"/>
      <c r="G81" s="53"/>
      <c r="H81" s="53"/>
      <c r="I81" s="53"/>
      <c r="J81" s="53"/>
      <c r="K81" s="53"/>
      <c r="L81" s="53"/>
      <c r="M81" s="53"/>
      <c r="N81" s="53"/>
      <c r="O81" s="53"/>
      <c r="P81" s="53"/>
      <c r="Q81" s="53"/>
      <c r="R81" s="53"/>
      <c r="S81" s="28"/>
      <c r="T81" s="28"/>
      <c r="U81" s="28"/>
      <c r="V81" s="28"/>
      <c r="W81" s="28"/>
      <c r="X81" s="28"/>
      <c r="Y81" s="28"/>
      <c r="Z81" s="28"/>
    </row>
    <row r="82" spans="3:26">
      <c r="C82" s="66"/>
      <c r="D82" s="63"/>
      <c r="E82" s="53"/>
      <c r="F82" s="53"/>
      <c r="G82" s="53"/>
      <c r="H82" s="53"/>
      <c r="I82" s="53"/>
      <c r="J82" s="53"/>
      <c r="K82" s="53"/>
      <c r="L82" s="53"/>
      <c r="M82" s="53"/>
      <c r="N82" s="53"/>
      <c r="O82" s="53"/>
      <c r="P82" s="53"/>
      <c r="Q82" s="53"/>
      <c r="R82" s="53"/>
      <c r="S82" s="28"/>
      <c r="T82" s="28"/>
      <c r="U82" s="28"/>
      <c r="V82" s="28"/>
      <c r="W82" s="28"/>
      <c r="X82" s="28"/>
      <c r="Y82" s="28"/>
      <c r="Z82" s="28"/>
    </row>
    <row r="83" spans="3:26">
      <c r="C83" s="67"/>
      <c r="D83" s="61"/>
      <c r="E83" s="53"/>
      <c r="F83" s="53"/>
      <c r="G83" s="53"/>
      <c r="H83" s="53"/>
      <c r="I83" s="53"/>
      <c r="J83" s="53"/>
      <c r="K83" s="53"/>
      <c r="L83" s="53"/>
      <c r="M83" s="53"/>
      <c r="N83" s="53"/>
      <c r="O83" s="53"/>
      <c r="P83" s="53"/>
      <c r="Q83" s="53"/>
      <c r="R83" s="53"/>
      <c r="S83" s="28"/>
      <c r="T83" s="28"/>
      <c r="U83" s="28"/>
      <c r="V83" s="28"/>
      <c r="W83" s="28"/>
      <c r="X83" s="28"/>
      <c r="Y83" s="28"/>
      <c r="Z83" s="28"/>
    </row>
    <row r="84" spans="3:26">
      <c r="C84" s="67"/>
      <c r="D84" s="61"/>
      <c r="E84" s="53"/>
      <c r="F84" s="53"/>
      <c r="G84" s="53"/>
      <c r="H84" s="53"/>
      <c r="I84" s="53"/>
      <c r="J84" s="53"/>
      <c r="K84" s="53"/>
      <c r="L84" s="53"/>
      <c r="M84" s="53"/>
      <c r="N84" s="53"/>
      <c r="O84" s="53"/>
      <c r="P84" s="53"/>
      <c r="Q84" s="53"/>
      <c r="R84" s="53"/>
      <c r="S84" s="28"/>
      <c r="T84" s="28"/>
      <c r="U84" s="28"/>
      <c r="V84" s="28"/>
      <c r="W84" s="28"/>
      <c r="X84" s="28"/>
      <c r="Y84" s="28"/>
      <c r="Z84" s="28"/>
    </row>
    <row r="85" spans="3:26">
      <c r="C85" s="66"/>
      <c r="D85" s="63"/>
      <c r="E85" s="53"/>
      <c r="F85" s="53"/>
      <c r="G85" s="53"/>
      <c r="H85" s="53"/>
      <c r="I85" s="53"/>
      <c r="J85" s="53"/>
      <c r="K85" s="53"/>
      <c r="L85" s="53"/>
      <c r="M85" s="53"/>
      <c r="N85" s="53"/>
      <c r="O85" s="53"/>
      <c r="P85" s="53"/>
      <c r="Q85" s="53"/>
      <c r="R85" s="53"/>
      <c r="S85" s="68"/>
      <c r="T85" s="68"/>
      <c r="U85" s="68"/>
      <c r="V85" s="68"/>
      <c r="W85" s="68"/>
      <c r="X85" s="68"/>
      <c r="Y85" s="68"/>
      <c r="Z85" s="68"/>
    </row>
    <row r="86" spans="3:26">
      <c r="C86" s="53"/>
      <c r="D86" s="53"/>
      <c r="E86" s="53"/>
      <c r="F86" s="53"/>
      <c r="G86" s="53"/>
      <c r="H86" s="53"/>
      <c r="I86" s="53"/>
      <c r="J86" s="53"/>
      <c r="K86" s="53"/>
      <c r="L86" s="53"/>
      <c r="M86" s="53"/>
      <c r="N86" s="53"/>
      <c r="O86" s="53"/>
      <c r="P86" s="53"/>
      <c r="Q86" s="53"/>
      <c r="R86" s="53"/>
      <c r="S86" s="68"/>
      <c r="T86" s="68"/>
      <c r="U86" s="68"/>
      <c r="V86" s="68"/>
      <c r="W86" s="68"/>
      <c r="X86" s="68"/>
      <c r="Y86" s="68"/>
      <c r="Z86" s="68"/>
    </row>
    <row r="87" spans="3:26">
      <c r="S87" s="27"/>
      <c r="T87" s="27"/>
      <c r="U87" s="27"/>
      <c r="V87" s="27"/>
      <c r="W87" s="27"/>
      <c r="X87" s="27"/>
      <c r="Y87" s="27"/>
      <c r="Z87" s="27"/>
    </row>
    <row r="88" spans="3:26">
      <c r="S88" s="27"/>
      <c r="T88" s="27"/>
      <c r="U88" s="27"/>
      <c r="V88" s="27"/>
      <c r="W88" s="27"/>
      <c r="X88" s="27"/>
      <c r="Y88" s="27"/>
      <c r="Z88" s="27"/>
    </row>
    <row r="89" spans="3:26">
      <c r="S89" s="27"/>
      <c r="T89" s="27"/>
      <c r="U89" s="27"/>
      <c r="V89" s="27"/>
      <c r="W89" s="27"/>
      <c r="X89" s="27"/>
      <c r="Y89" s="27"/>
      <c r="Z89" s="27"/>
    </row>
    <row r="90" spans="3:26">
      <c r="S90" s="28"/>
      <c r="T90" s="28"/>
      <c r="U90" s="28"/>
      <c r="V90" s="28"/>
      <c r="W90" s="28"/>
      <c r="X90" s="28"/>
      <c r="Y90" s="28"/>
      <c r="Z90" s="28"/>
    </row>
  </sheetData>
  <pageMargins left="0.31496062992125984" right="0.31496062992125984" top="0.74803149606299213" bottom="0.74803149606299213" header="0.31496062992125984" footer="0.31496062992125984"/>
  <pageSetup scale="97"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zoomScale="90" zoomScaleNormal="90" workbookViewId="0">
      <pane xSplit="2" ySplit="3" topLeftCell="I4" activePane="bottomRight" state="frozenSplit"/>
      <selection pane="topRight" activeCell="B1" sqref="B1"/>
      <selection pane="bottomLeft" activeCell="A4" sqref="A4"/>
      <selection pane="bottomRight" activeCell="A2" sqref="A2"/>
    </sheetView>
  </sheetViews>
  <sheetFormatPr defaultColWidth="27.9140625" defaultRowHeight="12"/>
  <cols>
    <col min="1" max="1" width="35.58203125" style="188" customWidth="1"/>
    <col min="2" max="2" width="35.25" style="188" customWidth="1"/>
    <col min="3" max="3" width="15.6640625" style="188" customWidth="1"/>
    <col min="4" max="14" width="12.75" style="188" customWidth="1"/>
    <col min="15" max="16384" width="27.9140625" style="188"/>
  </cols>
  <sheetData>
    <row r="1" spans="1:14" ht="15.5">
      <c r="A1" s="189" t="s">
        <v>462</v>
      </c>
    </row>
    <row r="2" spans="1:14" ht="15.5">
      <c r="A2" s="83" t="s">
        <v>484</v>
      </c>
    </row>
    <row r="3" spans="1:14" s="207" customFormat="1" ht="12.5">
      <c r="A3" s="187" t="s">
        <v>447</v>
      </c>
      <c r="B3" s="187" t="s">
        <v>448</v>
      </c>
      <c r="C3" s="206" t="s">
        <v>284</v>
      </c>
      <c r="D3" s="206" t="s">
        <v>314</v>
      </c>
      <c r="E3" s="206" t="s">
        <v>367</v>
      </c>
      <c r="F3" s="206" t="s">
        <v>417</v>
      </c>
      <c r="G3" s="206" t="s">
        <v>420</v>
      </c>
      <c r="H3" s="206" t="s">
        <v>424</v>
      </c>
      <c r="I3" s="206" t="s">
        <v>435</v>
      </c>
      <c r="J3" s="206" t="s">
        <v>440</v>
      </c>
      <c r="K3" s="206" t="s">
        <v>446</v>
      </c>
      <c r="L3" s="206" t="s">
        <v>528</v>
      </c>
      <c r="M3" s="188"/>
      <c r="N3" s="188"/>
    </row>
    <row r="4" spans="1:14" s="1" customFormat="1" ht="12.5" thickBot="1">
      <c r="A4" s="197" t="s">
        <v>449</v>
      </c>
      <c r="B4" s="197" t="s">
        <v>463</v>
      </c>
      <c r="C4" s="198" t="s">
        <v>531</v>
      </c>
      <c r="D4" s="198">
        <v>33070.344070272658</v>
      </c>
      <c r="E4" s="198" t="s">
        <v>532</v>
      </c>
      <c r="F4" s="198" t="s">
        <v>533</v>
      </c>
      <c r="G4" s="198">
        <v>36635.5</v>
      </c>
      <c r="H4" s="198">
        <v>37735.199999999997</v>
      </c>
      <c r="I4" s="198" t="s">
        <v>534</v>
      </c>
      <c r="J4" s="198" t="s">
        <v>535</v>
      </c>
      <c r="K4" s="198">
        <v>48124.6</v>
      </c>
      <c r="L4" s="198">
        <v>50675</v>
      </c>
    </row>
    <row r="5" spans="1:14" s="1" customFormat="1" ht="12.5" thickBot="1">
      <c r="A5" s="197" t="s">
        <v>450</v>
      </c>
      <c r="B5" s="197" t="s">
        <v>464</v>
      </c>
      <c r="C5" s="198" t="s">
        <v>536</v>
      </c>
      <c r="D5" s="198">
        <v>2645.6275256218123</v>
      </c>
      <c r="E5" s="198" t="s">
        <v>537</v>
      </c>
      <c r="F5" s="198" t="s">
        <v>538</v>
      </c>
      <c r="G5" s="198">
        <v>2930.8</v>
      </c>
      <c r="H5" s="198">
        <v>3018.9</v>
      </c>
      <c r="I5" s="198" t="s">
        <v>539</v>
      </c>
      <c r="J5" s="198" t="s">
        <v>540</v>
      </c>
      <c r="K5" s="198">
        <v>3849.97</v>
      </c>
      <c r="L5" s="198">
        <v>4054</v>
      </c>
    </row>
    <row r="6" spans="1:14" s="1" customFormat="1" ht="24.5" thickBot="1">
      <c r="A6" s="199" t="s">
        <v>480</v>
      </c>
      <c r="B6" s="200" t="s">
        <v>465</v>
      </c>
      <c r="C6" s="198" t="s">
        <v>541</v>
      </c>
      <c r="D6" s="198">
        <v>2299.2098793376181</v>
      </c>
      <c r="E6" s="198" t="s">
        <v>542</v>
      </c>
      <c r="F6" s="198" t="s">
        <v>543</v>
      </c>
      <c r="G6" s="198">
        <v>2593.9</v>
      </c>
      <c r="H6" s="198">
        <v>2656.6</v>
      </c>
      <c r="I6" s="198" t="s">
        <v>544</v>
      </c>
      <c r="J6" s="198" t="s">
        <v>545</v>
      </c>
      <c r="K6" s="198">
        <v>3495.2</v>
      </c>
      <c r="L6" s="198">
        <v>3642</v>
      </c>
    </row>
    <row r="7" spans="1:14" s="1" customFormat="1" ht="12.5" thickBot="1">
      <c r="A7" s="199" t="s">
        <v>481</v>
      </c>
      <c r="B7" s="200" t="s">
        <v>466</v>
      </c>
      <c r="C7" s="198">
        <v>18.3</v>
      </c>
      <c r="D7" s="198">
        <v>31.735184475165024</v>
      </c>
      <c r="E7" s="198">
        <v>27.9</v>
      </c>
      <c r="F7" s="198">
        <v>27.1</v>
      </c>
      <c r="G7" s="198">
        <v>20.3</v>
      </c>
      <c r="H7" s="198">
        <v>22.6</v>
      </c>
      <c r="I7" s="198">
        <v>19.899999999999999</v>
      </c>
      <c r="J7" s="198">
        <v>24.3</v>
      </c>
      <c r="K7" s="198">
        <v>24.2</v>
      </c>
      <c r="L7" s="198">
        <v>24.3</v>
      </c>
    </row>
    <row r="8" spans="1:14" s="1" customFormat="1" ht="12.5" thickBot="1">
      <c r="A8" s="199" t="s">
        <v>482</v>
      </c>
      <c r="B8" s="200" t="s">
        <v>467</v>
      </c>
      <c r="C8" s="198">
        <v>293.39999999999998</v>
      </c>
      <c r="D8" s="198">
        <v>310.79165313184666</v>
      </c>
      <c r="E8" s="198">
        <v>310.8</v>
      </c>
      <c r="F8" s="198">
        <v>310.8</v>
      </c>
      <c r="G8" s="198">
        <v>313.10000000000002</v>
      </c>
      <c r="H8" s="198">
        <v>336.9</v>
      </c>
      <c r="I8" s="198">
        <v>415.9</v>
      </c>
      <c r="J8" s="198">
        <v>415.9</v>
      </c>
      <c r="K8" s="198">
        <v>326.89999999999998</v>
      </c>
      <c r="L8" s="198">
        <v>382.5</v>
      </c>
    </row>
    <row r="9" spans="1:14" s="1" customFormat="1" ht="24.5" thickBot="1">
      <c r="A9" s="199" t="s">
        <v>483</v>
      </c>
      <c r="B9" s="200" t="s">
        <v>468</v>
      </c>
      <c r="C9" s="198">
        <v>6.1</v>
      </c>
      <c r="D9" s="198">
        <v>3.8908086771827795</v>
      </c>
      <c r="E9" s="198">
        <v>3.8</v>
      </c>
      <c r="F9" s="198">
        <v>3.2</v>
      </c>
      <c r="G9" s="198">
        <v>3.5</v>
      </c>
      <c r="H9" s="198">
        <v>2.8</v>
      </c>
      <c r="I9" s="198">
        <v>3.6</v>
      </c>
      <c r="J9" s="198">
        <v>4.9000000000000004</v>
      </c>
      <c r="K9" s="198">
        <v>3.6</v>
      </c>
      <c r="L9" s="198">
        <v>5.2</v>
      </c>
    </row>
    <row r="10" spans="1:14" s="1" customFormat="1" ht="12.5" thickBot="1">
      <c r="A10" s="197" t="s">
        <v>451</v>
      </c>
      <c r="B10" s="197" t="s">
        <v>469</v>
      </c>
      <c r="C10" s="201" t="s">
        <v>546</v>
      </c>
      <c r="D10" s="201">
        <v>8079.8864174890268</v>
      </c>
      <c r="E10" s="198" t="s">
        <v>547</v>
      </c>
      <c r="F10" s="198" t="s">
        <v>548</v>
      </c>
      <c r="G10" s="198">
        <v>7943</v>
      </c>
      <c r="H10" s="198">
        <v>9658.9</v>
      </c>
      <c r="I10" s="198" t="s">
        <v>549</v>
      </c>
      <c r="J10" s="198" t="s">
        <v>550</v>
      </c>
      <c r="K10" s="198">
        <v>9668.5</v>
      </c>
      <c r="L10" s="198">
        <v>9896.7999999999993</v>
      </c>
    </row>
    <row r="11" spans="1:14" s="1" customFormat="1" ht="12.5" thickBot="1">
      <c r="A11" s="202" t="s">
        <v>452</v>
      </c>
      <c r="B11" s="202" t="s">
        <v>470</v>
      </c>
      <c r="C11" s="201" t="s">
        <v>551</v>
      </c>
      <c r="D11" s="201">
        <v>7379.8864174890268</v>
      </c>
      <c r="E11" s="198" t="s">
        <v>552</v>
      </c>
      <c r="F11" s="198" t="s">
        <v>553</v>
      </c>
      <c r="G11" s="198">
        <v>7243</v>
      </c>
      <c r="H11" s="198">
        <v>8128</v>
      </c>
      <c r="I11" s="198" t="s">
        <v>554</v>
      </c>
      <c r="J11" s="198" t="s">
        <v>555</v>
      </c>
      <c r="K11" s="198">
        <v>8138.5</v>
      </c>
      <c r="L11" s="198">
        <v>8366.7999999999993</v>
      </c>
    </row>
    <row r="12" spans="1:14" s="1" customFormat="1" ht="12.5" thickBot="1">
      <c r="A12" s="197" t="s">
        <v>453</v>
      </c>
      <c r="B12" s="197" t="s">
        <v>471</v>
      </c>
      <c r="C12" s="201">
        <v>641.79999999999995</v>
      </c>
      <c r="D12" s="201">
        <v>700</v>
      </c>
      <c r="E12" s="198">
        <v>700</v>
      </c>
      <c r="F12" s="198">
        <v>700</v>
      </c>
      <c r="G12" s="198">
        <v>700</v>
      </c>
      <c r="H12" s="198">
        <v>1530</v>
      </c>
      <c r="I12" s="198">
        <v>1530</v>
      </c>
      <c r="J12" s="198" t="s">
        <v>556</v>
      </c>
      <c r="K12" s="198">
        <v>1530</v>
      </c>
      <c r="L12" s="198">
        <v>1530</v>
      </c>
    </row>
    <row r="13" spans="1:14" s="1" customFormat="1" ht="12.5" thickBot="1">
      <c r="A13" s="203" t="s">
        <v>454</v>
      </c>
      <c r="B13" s="203" t="s">
        <v>472</v>
      </c>
      <c r="C13" s="226">
        <v>0.21990000000000001</v>
      </c>
      <c r="D13" s="226">
        <v>0.24429999999999999</v>
      </c>
      <c r="E13" s="226">
        <v>0.23369999999999999</v>
      </c>
      <c r="F13" s="226">
        <v>0.2291</v>
      </c>
      <c r="G13" s="226">
        <v>0.21679999999999999</v>
      </c>
      <c r="H13" s="226">
        <v>0.25600000000000001</v>
      </c>
      <c r="I13" s="226">
        <v>0.20130000000000001</v>
      </c>
      <c r="J13" s="226">
        <v>0.2024</v>
      </c>
      <c r="K13" s="226">
        <v>0.2009</v>
      </c>
      <c r="L13" s="226">
        <v>0.1953</v>
      </c>
    </row>
    <row r="14" spans="1:14" s="1" customFormat="1" ht="12.5" thickBot="1">
      <c r="A14" s="197" t="s">
        <v>455</v>
      </c>
      <c r="B14" s="197" t="s">
        <v>473</v>
      </c>
      <c r="C14" s="227">
        <v>0.18909999999999999</v>
      </c>
      <c r="D14" s="227">
        <v>0.18540000000000001</v>
      </c>
      <c r="E14" s="228">
        <v>0.18540000000000001</v>
      </c>
      <c r="F14" s="228">
        <v>0.18285000000000001</v>
      </c>
      <c r="G14" s="228">
        <v>0.1915</v>
      </c>
      <c r="H14" s="228">
        <v>0.19769999999999999</v>
      </c>
      <c r="I14" s="228">
        <v>0.19769999999999999</v>
      </c>
      <c r="J14" s="228">
        <v>0.19769999999999999</v>
      </c>
      <c r="K14" s="228">
        <v>0.1837</v>
      </c>
      <c r="L14" s="228">
        <v>0.1537</v>
      </c>
    </row>
    <row r="15" spans="1:14" s="1" customFormat="1" ht="24.5" thickBot="1">
      <c r="A15" s="197" t="s">
        <v>456</v>
      </c>
      <c r="B15" s="197" t="s">
        <v>474</v>
      </c>
      <c r="C15" s="229" t="s">
        <v>557</v>
      </c>
      <c r="D15" s="229" t="s">
        <v>558</v>
      </c>
      <c r="E15" s="230" t="s">
        <v>559</v>
      </c>
      <c r="F15" s="230" t="s">
        <v>560</v>
      </c>
      <c r="G15" s="230" t="s">
        <v>561</v>
      </c>
      <c r="H15" s="230" t="s">
        <v>562</v>
      </c>
      <c r="I15" s="230" t="s">
        <v>563</v>
      </c>
      <c r="J15" s="230" t="s">
        <v>564</v>
      </c>
      <c r="K15" s="230" t="s">
        <v>565</v>
      </c>
      <c r="L15" s="230" t="s">
        <v>566</v>
      </c>
    </row>
    <row r="16" spans="1:14" s="1" customFormat="1" ht="12.5" thickBot="1">
      <c r="A16" s="203" t="s">
        <v>457</v>
      </c>
      <c r="B16" s="203" t="s">
        <v>475</v>
      </c>
      <c r="C16" s="226">
        <v>0.20030000000000001</v>
      </c>
      <c r="D16" s="226">
        <v>0.22320000000000001</v>
      </c>
      <c r="E16" s="226">
        <v>0.21329999999999999</v>
      </c>
      <c r="F16" s="226">
        <v>0.20899999999999999</v>
      </c>
      <c r="G16" s="226">
        <v>0.19769999999999999</v>
      </c>
      <c r="H16" s="226">
        <v>0.21540000000000001</v>
      </c>
      <c r="I16" s="226">
        <v>0.16880000000000001</v>
      </c>
      <c r="J16" s="226">
        <v>0.17069999999999999</v>
      </c>
      <c r="K16" s="226">
        <v>0.1691</v>
      </c>
      <c r="L16" s="226">
        <v>0.1651</v>
      </c>
    </row>
    <row r="17" spans="1:12" s="1" customFormat="1" ht="12.5" thickBot="1">
      <c r="A17" s="197" t="s">
        <v>455</v>
      </c>
      <c r="B17" s="197" t="s">
        <v>473</v>
      </c>
      <c r="C17" s="227">
        <v>0.14560000000000001</v>
      </c>
      <c r="D17" s="227">
        <v>0.15179999999999999</v>
      </c>
      <c r="E17" s="228">
        <v>0.15179999999999999</v>
      </c>
      <c r="F17" s="228">
        <v>0.14935000000000001</v>
      </c>
      <c r="G17" s="228">
        <v>0.15579999999999999</v>
      </c>
      <c r="H17" s="228">
        <v>0.16200000000000001</v>
      </c>
      <c r="I17" s="228">
        <v>0.16200000000000001</v>
      </c>
      <c r="J17" s="228">
        <v>0.16200000000000001</v>
      </c>
      <c r="K17" s="228">
        <v>0.1515</v>
      </c>
      <c r="L17" s="228">
        <v>0.1215</v>
      </c>
    </row>
    <row r="18" spans="1:12" s="1" customFormat="1" ht="24.5" thickBot="1">
      <c r="A18" s="197" t="s">
        <v>458</v>
      </c>
      <c r="B18" s="197" t="s">
        <v>476</v>
      </c>
      <c r="C18" s="229" t="s">
        <v>567</v>
      </c>
      <c r="D18" s="229" t="s">
        <v>568</v>
      </c>
      <c r="E18" s="230" t="s">
        <v>569</v>
      </c>
      <c r="F18" s="230" t="s">
        <v>570</v>
      </c>
      <c r="G18" s="230" t="s">
        <v>571</v>
      </c>
      <c r="H18" s="230" t="s">
        <v>572</v>
      </c>
      <c r="I18" s="230" t="s">
        <v>573</v>
      </c>
      <c r="J18" s="230" t="s">
        <v>574</v>
      </c>
      <c r="K18" s="230" t="s">
        <v>575</v>
      </c>
      <c r="L18" s="230" t="s">
        <v>576</v>
      </c>
    </row>
    <row r="19" spans="1:12" s="1" customFormat="1" ht="24.5" thickBot="1">
      <c r="A19" s="203" t="s">
        <v>459</v>
      </c>
      <c r="B19" s="203" t="s">
        <v>477</v>
      </c>
      <c r="C19" s="226">
        <v>0.20030000000000001</v>
      </c>
      <c r="D19" s="226">
        <v>0.22320000000000001</v>
      </c>
      <c r="E19" s="226">
        <v>0.21329999999999999</v>
      </c>
      <c r="F19" s="226">
        <v>0.20899999999999999</v>
      </c>
      <c r="G19" s="226">
        <v>0.19769999999999999</v>
      </c>
      <c r="H19" s="226">
        <v>0.21540000000000001</v>
      </c>
      <c r="I19" s="226">
        <v>0.16880000000000001</v>
      </c>
      <c r="J19" s="226">
        <v>0.17069999999999999</v>
      </c>
      <c r="K19" s="226">
        <v>0.1691</v>
      </c>
      <c r="L19" s="226">
        <v>0.1651</v>
      </c>
    </row>
    <row r="20" spans="1:12" s="1" customFormat="1" ht="12.5" thickBot="1">
      <c r="A20" s="197" t="s">
        <v>455</v>
      </c>
      <c r="B20" s="197" t="s">
        <v>473</v>
      </c>
      <c r="C20" s="228">
        <v>0.1353</v>
      </c>
      <c r="D20" s="228">
        <v>0.12659999999999999</v>
      </c>
      <c r="E20" s="228">
        <v>0.12659999999999999</v>
      </c>
      <c r="F20" s="228">
        <v>0.12404999999999999</v>
      </c>
      <c r="G20" s="228">
        <v>0.12889999999999999</v>
      </c>
      <c r="H20" s="228">
        <v>0.1351</v>
      </c>
      <c r="I20" s="228">
        <v>0.1351</v>
      </c>
      <c r="J20" s="228">
        <v>0.1351</v>
      </c>
      <c r="K20" s="228">
        <v>0.1273</v>
      </c>
      <c r="L20" s="228">
        <v>9.7299999999999998E-2</v>
      </c>
    </row>
    <row r="21" spans="1:12" s="1" customFormat="1" ht="24.5" thickBot="1">
      <c r="A21" s="197" t="s">
        <v>460</v>
      </c>
      <c r="B21" s="197" t="s">
        <v>478</v>
      </c>
      <c r="C21" s="230" t="s">
        <v>577</v>
      </c>
      <c r="D21" s="230" t="s">
        <v>578</v>
      </c>
      <c r="E21" s="230" t="s">
        <v>579</v>
      </c>
      <c r="F21" s="230" t="s">
        <v>580</v>
      </c>
      <c r="G21" s="230" t="s">
        <v>581</v>
      </c>
      <c r="H21" s="230" t="s">
        <v>582</v>
      </c>
      <c r="I21" s="230" t="s">
        <v>583</v>
      </c>
      <c r="J21" s="230" t="s">
        <v>584</v>
      </c>
      <c r="K21" s="230" t="s">
        <v>585</v>
      </c>
      <c r="L21" s="230" t="s">
        <v>586</v>
      </c>
    </row>
    <row r="22" spans="1:12" s="1" customFormat="1" ht="12.5" thickBot="1">
      <c r="A22" s="204" t="s">
        <v>461</v>
      </c>
      <c r="B22" s="204" t="s">
        <v>479</v>
      </c>
      <c r="C22" s="231">
        <v>8.9399999999999993E-2</v>
      </c>
      <c r="D22" s="231">
        <v>9.8100000000000007E-2</v>
      </c>
      <c r="E22" s="231">
        <v>9.7799999999999998E-2</v>
      </c>
      <c r="F22" s="231">
        <v>9.6199999999999994E-2</v>
      </c>
      <c r="G22" s="231">
        <v>8.7800000000000003E-2</v>
      </c>
      <c r="H22" s="231">
        <v>9.6199999999999994E-2</v>
      </c>
      <c r="I22" s="231">
        <v>8.3099999999999993E-2</v>
      </c>
      <c r="J22" s="231">
        <v>8.2699999999999996E-2</v>
      </c>
      <c r="K22" s="231">
        <v>8.1100000000000005E-2</v>
      </c>
    </row>
    <row r="28" spans="1:12">
      <c r="D28" s="232"/>
    </row>
  </sheetData>
  <pageMargins left="0.7" right="0.7" top="0.75" bottom="0.75" header="0.3" footer="0.3"/>
  <pageSetup paperSize="9"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39"/>
  <sheetViews>
    <sheetView zoomScale="80" zoomScaleNormal="80" workbookViewId="0">
      <selection activeCell="B47" sqref="B47"/>
    </sheetView>
  </sheetViews>
  <sheetFormatPr defaultColWidth="8.75" defaultRowHeight="12" outlineLevelCol="1"/>
  <cols>
    <col min="1" max="1" width="35.08203125" style="1" customWidth="1"/>
    <col min="2" max="2" width="36.25" style="1" customWidth="1"/>
    <col min="3" max="3" width="11.9140625" style="1" hidden="1" customWidth="1" outlineLevel="1"/>
    <col min="4" max="4" width="12" style="1" hidden="1" customWidth="1" outlineLevel="1"/>
    <col min="5" max="6" width="12.25" style="1" hidden="1" customWidth="1" outlineLevel="1"/>
    <col min="7" max="7" width="12.25" style="1" hidden="1" customWidth="1" outlineLevel="1" collapsed="1"/>
    <col min="8" max="10" width="12.25" style="1" hidden="1" customWidth="1" outlineLevel="1"/>
    <col min="11" max="11" width="12.25" style="1" customWidth="1" collapsed="1"/>
    <col min="12" max="18" width="12.25" style="1" customWidth="1"/>
    <col min="19" max="19" width="3.75" style="1" customWidth="1"/>
    <col min="20" max="20" width="33.33203125" style="1" customWidth="1"/>
    <col min="21" max="24" width="12" style="1" hidden="1" customWidth="1" outlineLevel="1"/>
    <col min="25" max="25" width="12" style="1" hidden="1" customWidth="1" outlineLevel="1" collapsed="1"/>
    <col min="26" max="28" width="12" style="1" hidden="1" customWidth="1" outlineLevel="1"/>
    <col min="29" max="29" width="12" style="1" customWidth="1" collapsed="1"/>
    <col min="30" max="34" width="12" style="1" customWidth="1"/>
    <col min="35" max="36" width="11.33203125" style="69" customWidth="1"/>
    <col min="37" max="37" width="12.25" style="55" customWidth="1"/>
    <col min="38" max="38" width="11.33203125" style="55" customWidth="1"/>
    <col min="39" max="39" width="12" style="1" customWidth="1"/>
    <col min="40" max="16384" width="8.75" style="1"/>
  </cols>
  <sheetData>
    <row r="1" spans="1:41" ht="27.65" customHeight="1" thickBot="1">
      <c r="A1" s="83" t="s">
        <v>186</v>
      </c>
      <c r="C1" s="4"/>
      <c r="D1" s="4"/>
      <c r="E1" s="4"/>
      <c r="F1" s="4"/>
      <c r="G1" s="4"/>
      <c r="H1" s="4"/>
      <c r="I1" s="4"/>
      <c r="J1" s="4"/>
      <c r="K1" s="4"/>
      <c r="L1" s="4"/>
      <c r="M1" s="4"/>
      <c r="N1" s="4"/>
      <c r="O1" s="4"/>
      <c r="P1" s="4"/>
      <c r="Q1" s="4"/>
      <c r="R1" s="4"/>
      <c r="T1" s="1" t="s">
        <v>24</v>
      </c>
      <c r="U1" s="4"/>
      <c r="V1" s="4"/>
      <c r="W1" s="4"/>
      <c r="X1" s="4"/>
      <c r="Y1" s="4"/>
      <c r="Z1" s="4"/>
      <c r="AA1" s="4"/>
      <c r="AB1" s="4"/>
      <c r="AC1" s="4"/>
      <c r="AD1" s="4"/>
      <c r="AE1" s="4"/>
      <c r="AF1" s="4"/>
      <c r="AG1" s="4"/>
      <c r="AH1" s="4"/>
    </row>
    <row r="2" spans="1:41" ht="24.5" thickBot="1">
      <c r="A2" s="37" t="s">
        <v>23</v>
      </c>
      <c r="B2" s="37" t="s">
        <v>172</v>
      </c>
      <c r="C2" s="37" t="s">
        <v>189</v>
      </c>
      <c r="D2" s="37" t="s">
        <v>192</v>
      </c>
      <c r="E2" s="37" t="s">
        <v>196</v>
      </c>
      <c r="F2" s="37" t="s">
        <v>216</v>
      </c>
      <c r="G2" s="37" t="s">
        <v>219</v>
      </c>
      <c r="H2" s="37" t="s">
        <v>238</v>
      </c>
      <c r="I2" s="37" t="s">
        <v>239</v>
      </c>
      <c r="J2" s="37" t="s">
        <v>242</v>
      </c>
      <c r="K2" s="37" t="s">
        <v>245</v>
      </c>
      <c r="L2" s="37" t="s">
        <v>252</v>
      </c>
      <c r="M2" s="37" t="s">
        <v>257</v>
      </c>
      <c r="N2" s="37" t="s">
        <v>259</v>
      </c>
      <c r="O2" s="37" t="s">
        <v>262</v>
      </c>
      <c r="P2" s="37" t="s">
        <v>267</v>
      </c>
      <c r="Q2" s="37" t="s">
        <v>275</v>
      </c>
      <c r="R2" s="37" t="s">
        <v>282</v>
      </c>
      <c r="T2" s="38" t="s">
        <v>23</v>
      </c>
      <c r="U2" s="38" t="s">
        <v>189</v>
      </c>
      <c r="V2" s="38" t="s">
        <v>191</v>
      </c>
      <c r="W2" s="38" t="s">
        <v>197</v>
      </c>
      <c r="X2" s="38" t="s">
        <v>215</v>
      </c>
      <c r="Y2" s="38" t="s">
        <v>219</v>
      </c>
      <c r="Z2" s="38" t="s">
        <v>237</v>
      </c>
      <c r="AA2" s="38" t="s">
        <v>240</v>
      </c>
      <c r="AB2" s="38" t="s">
        <v>243</v>
      </c>
      <c r="AC2" s="38" t="s">
        <v>245</v>
      </c>
      <c r="AD2" s="38" t="s">
        <v>253</v>
      </c>
      <c r="AE2" s="38" t="s">
        <v>256</v>
      </c>
      <c r="AF2" s="38" t="s">
        <v>260</v>
      </c>
      <c r="AG2" s="38" t="s">
        <v>262</v>
      </c>
      <c r="AH2" s="38" t="s">
        <v>273</v>
      </c>
      <c r="AI2" s="38" t="s">
        <v>276</v>
      </c>
      <c r="AJ2" s="38" t="s">
        <v>283</v>
      </c>
    </row>
    <row r="3" spans="1:41">
      <c r="A3" s="41" t="s">
        <v>25</v>
      </c>
      <c r="B3" s="42" t="s">
        <v>258</v>
      </c>
      <c r="C3" s="11">
        <v>632128</v>
      </c>
      <c r="D3" s="11">
        <v>1292024</v>
      </c>
      <c r="E3" s="11">
        <v>1968388</v>
      </c>
      <c r="F3" s="11">
        <v>2594070</v>
      </c>
      <c r="G3" s="11">
        <v>600706</v>
      </c>
      <c r="H3" s="11">
        <v>1182664</v>
      </c>
      <c r="I3" s="11">
        <v>1777627</v>
      </c>
      <c r="J3" s="11">
        <v>2366622</v>
      </c>
      <c r="K3" s="11">
        <v>570293</v>
      </c>
      <c r="L3" s="11">
        <v>1153602</v>
      </c>
      <c r="M3" s="11">
        <v>1735054</v>
      </c>
      <c r="N3" s="11">
        <v>2327967</v>
      </c>
      <c r="O3" s="11">
        <v>594025</v>
      </c>
      <c r="P3" s="11">
        <v>1196582</v>
      </c>
      <c r="Q3" s="11">
        <v>1818176</v>
      </c>
      <c r="R3" s="11">
        <v>2439330</v>
      </c>
      <c r="T3" s="39" t="s">
        <v>25</v>
      </c>
      <c r="U3" s="5">
        <v>632128</v>
      </c>
      <c r="V3" s="5">
        <v>659896</v>
      </c>
      <c r="W3" s="5">
        <v>676364</v>
      </c>
      <c r="X3" s="5">
        <v>625682</v>
      </c>
      <c r="Y3" s="5">
        <v>600706</v>
      </c>
      <c r="Z3" s="5">
        <v>581958</v>
      </c>
      <c r="AA3" s="5">
        <v>594963</v>
      </c>
      <c r="AB3" s="5">
        <v>588995</v>
      </c>
      <c r="AC3" s="5">
        <v>570293</v>
      </c>
      <c r="AD3" s="5">
        <v>583309</v>
      </c>
      <c r="AE3" s="5">
        <v>581452</v>
      </c>
      <c r="AF3" s="5">
        <v>592913</v>
      </c>
      <c r="AG3" s="5">
        <v>594025</v>
      </c>
      <c r="AH3" s="5">
        <v>602557</v>
      </c>
      <c r="AI3" s="5">
        <v>621594</v>
      </c>
      <c r="AJ3" s="5">
        <v>621154</v>
      </c>
      <c r="AK3" s="84"/>
      <c r="AL3" s="85"/>
      <c r="AO3" s="28"/>
    </row>
    <row r="4" spans="1:41">
      <c r="A4" s="41" t="s">
        <v>0</v>
      </c>
      <c r="B4" s="41" t="s">
        <v>97</v>
      </c>
      <c r="C4" s="12">
        <v>-275603</v>
      </c>
      <c r="D4" s="12">
        <v>-558155</v>
      </c>
      <c r="E4" s="12">
        <v>-857395</v>
      </c>
      <c r="F4" s="12">
        <v>-1129100</v>
      </c>
      <c r="G4" s="12">
        <v>-249631</v>
      </c>
      <c r="H4" s="12">
        <v>-483214</v>
      </c>
      <c r="I4" s="12">
        <v>-720699</v>
      </c>
      <c r="J4" s="12">
        <v>-947958</v>
      </c>
      <c r="K4" s="12">
        <v>-205531</v>
      </c>
      <c r="L4" s="12">
        <v>-397607</v>
      </c>
      <c r="M4" s="12">
        <v>-585905</v>
      </c>
      <c r="N4" s="12">
        <v>-771516</v>
      </c>
      <c r="O4" s="12">
        <v>-182862</v>
      </c>
      <c r="P4" s="12">
        <v>-355515</v>
      </c>
      <c r="Q4" s="12">
        <v>-530486</v>
      </c>
      <c r="R4" s="12">
        <v>-702470</v>
      </c>
      <c r="T4" s="39" t="s">
        <v>0</v>
      </c>
      <c r="U4" s="6">
        <v>-275603</v>
      </c>
      <c r="V4" s="6">
        <v>-282552</v>
      </c>
      <c r="W4" s="6">
        <v>-299240</v>
      </c>
      <c r="X4" s="6">
        <v>-271705</v>
      </c>
      <c r="Y4" s="6">
        <v>-249631</v>
      </c>
      <c r="Z4" s="6">
        <v>-233583</v>
      </c>
      <c r="AA4" s="6">
        <v>-237485</v>
      </c>
      <c r="AB4" s="6">
        <v>-227259</v>
      </c>
      <c r="AC4" s="6">
        <v>-205531</v>
      </c>
      <c r="AD4" s="6">
        <v>-192076</v>
      </c>
      <c r="AE4" s="6">
        <v>-188298</v>
      </c>
      <c r="AF4" s="6">
        <v>-185611</v>
      </c>
      <c r="AG4" s="6">
        <v>-182862</v>
      </c>
      <c r="AH4" s="6">
        <v>-172653</v>
      </c>
      <c r="AI4" s="6">
        <v>-174971</v>
      </c>
      <c r="AJ4" s="6">
        <v>-171984</v>
      </c>
      <c r="AK4" s="84"/>
      <c r="AL4" s="85"/>
    </row>
    <row r="5" spans="1:41">
      <c r="A5" s="43" t="s">
        <v>26</v>
      </c>
      <c r="B5" s="43" t="s">
        <v>98</v>
      </c>
      <c r="C5" s="13">
        <f t="shared" ref="C5:O5" si="0">SUM(C3:C4)</f>
        <v>356525</v>
      </c>
      <c r="D5" s="13">
        <f t="shared" si="0"/>
        <v>733869</v>
      </c>
      <c r="E5" s="13">
        <f t="shared" si="0"/>
        <v>1110993</v>
      </c>
      <c r="F5" s="13">
        <f t="shared" si="0"/>
        <v>1464970</v>
      </c>
      <c r="G5" s="13">
        <f t="shared" si="0"/>
        <v>351075</v>
      </c>
      <c r="H5" s="13">
        <f t="shared" si="0"/>
        <v>699450</v>
      </c>
      <c r="I5" s="13">
        <f t="shared" si="0"/>
        <v>1056928</v>
      </c>
      <c r="J5" s="13">
        <f t="shared" si="0"/>
        <v>1418664</v>
      </c>
      <c r="K5" s="13">
        <f t="shared" si="0"/>
        <v>364762</v>
      </c>
      <c r="L5" s="13">
        <f t="shared" si="0"/>
        <v>755995</v>
      </c>
      <c r="M5" s="13">
        <f t="shared" si="0"/>
        <v>1149149</v>
      </c>
      <c r="N5" s="13">
        <f t="shared" si="0"/>
        <v>1556451</v>
      </c>
      <c r="O5" s="13">
        <f t="shared" si="0"/>
        <v>411163</v>
      </c>
      <c r="P5" s="13">
        <v>841067</v>
      </c>
      <c r="Q5" s="13">
        <f>SUM(Q3:Q4)</f>
        <v>1287690</v>
      </c>
      <c r="R5" s="13">
        <f>SUM(R3:R4)</f>
        <v>1736860</v>
      </c>
      <c r="T5" s="49" t="s">
        <v>26</v>
      </c>
      <c r="U5" s="7">
        <v>356525</v>
      </c>
      <c r="V5" s="7">
        <v>377344</v>
      </c>
      <c r="W5" s="7">
        <v>377124</v>
      </c>
      <c r="X5" s="7">
        <v>353977</v>
      </c>
      <c r="Y5" s="7">
        <v>351075</v>
      </c>
      <c r="Z5" s="7">
        <v>348375</v>
      </c>
      <c r="AA5" s="7">
        <v>357478</v>
      </c>
      <c r="AB5" s="7">
        <v>361736</v>
      </c>
      <c r="AC5" s="7">
        <v>364762</v>
      </c>
      <c r="AD5" s="7">
        <v>391233</v>
      </c>
      <c r="AE5" s="7">
        <v>393154</v>
      </c>
      <c r="AF5" s="7">
        <v>407302</v>
      </c>
      <c r="AG5" s="7">
        <v>411163</v>
      </c>
      <c r="AH5" s="7">
        <v>429904</v>
      </c>
      <c r="AI5" s="7">
        <v>446623</v>
      </c>
      <c r="AJ5" s="7">
        <v>449170</v>
      </c>
      <c r="AK5" s="86"/>
      <c r="AL5" s="87"/>
    </row>
    <row r="6" spans="1:41" ht="17.149999999999999" customHeight="1">
      <c r="A6" s="41" t="s">
        <v>1</v>
      </c>
      <c r="B6" s="41" t="s">
        <v>99</v>
      </c>
      <c r="C6" s="12">
        <v>174839</v>
      </c>
      <c r="D6" s="12">
        <v>359426</v>
      </c>
      <c r="E6" s="12">
        <v>531235</v>
      </c>
      <c r="F6" s="12">
        <v>695321</v>
      </c>
      <c r="G6" s="12">
        <v>177814</v>
      </c>
      <c r="H6" s="12">
        <v>350983</v>
      </c>
      <c r="I6" s="12">
        <v>527368</v>
      </c>
      <c r="J6" s="12">
        <v>696280</v>
      </c>
      <c r="K6" s="12">
        <v>161382</v>
      </c>
      <c r="L6" s="12">
        <v>330323</v>
      </c>
      <c r="M6" s="12">
        <v>509562</v>
      </c>
      <c r="N6" s="12">
        <v>698007</v>
      </c>
      <c r="O6" s="12">
        <v>196098</v>
      </c>
      <c r="P6" s="12">
        <v>392262</v>
      </c>
      <c r="Q6" s="12">
        <v>593326</v>
      </c>
      <c r="R6" s="12">
        <v>799288</v>
      </c>
      <c r="T6" s="39" t="s">
        <v>1</v>
      </c>
      <c r="U6" s="6">
        <v>174839</v>
      </c>
      <c r="V6" s="6">
        <v>184587</v>
      </c>
      <c r="W6" s="6">
        <v>171809</v>
      </c>
      <c r="X6" s="6">
        <v>164086</v>
      </c>
      <c r="Y6" s="6">
        <v>177814</v>
      </c>
      <c r="Z6" s="6">
        <v>173169</v>
      </c>
      <c r="AA6" s="6">
        <v>176385</v>
      </c>
      <c r="AB6" s="6">
        <v>168912</v>
      </c>
      <c r="AC6" s="6">
        <v>161382</v>
      </c>
      <c r="AD6" s="6">
        <v>168941</v>
      </c>
      <c r="AE6" s="6">
        <v>179239</v>
      </c>
      <c r="AF6" s="6">
        <v>188445</v>
      </c>
      <c r="AG6" s="6">
        <v>196098</v>
      </c>
      <c r="AH6" s="6">
        <v>196164</v>
      </c>
      <c r="AI6" s="6">
        <v>201064</v>
      </c>
      <c r="AJ6" s="6">
        <v>205962</v>
      </c>
      <c r="AK6" s="84"/>
      <c r="AL6" s="85"/>
    </row>
    <row r="7" spans="1:41" ht="16.5" customHeight="1">
      <c r="A7" s="41" t="s">
        <v>2</v>
      </c>
      <c r="B7" s="41" t="s">
        <v>100</v>
      </c>
      <c r="C7" s="12">
        <v>-19344</v>
      </c>
      <c r="D7" s="12">
        <v>-40842</v>
      </c>
      <c r="E7" s="12">
        <v>-61761</v>
      </c>
      <c r="F7" s="12">
        <v>-83648</v>
      </c>
      <c r="G7" s="12">
        <v>-21064</v>
      </c>
      <c r="H7" s="12">
        <v>-46844</v>
      </c>
      <c r="I7" s="12">
        <v>-71642</v>
      </c>
      <c r="J7" s="12">
        <v>-100107</v>
      </c>
      <c r="K7" s="12">
        <v>-27030</v>
      </c>
      <c r="L7" s="12">
        <v>-56187</v>
      </c>
      <c r="M7" s="12">
        <v>-85234</v>
      </c>
      <c r="N7" s="12">
        <v>-116983</v>
      </c>
      <c r="O7" s="12">
        <v>-29981</v>
      </c>
      <c r="P7" s="12">
        <v>-63627</v>
      </c>
      <c r="Q7" s="12">
        <v>-99153</v>
      </c>
      <c r="R7" s="12">
        <v>-135735</v>
      </c>
      <c r="T7" s="39" t="s">
        <v>2</v>
      </c>
      <c r="U7" s="6">
        <v>-19344</v>
      </c>
      <c r="V7" s="6">
        <v>-21498</v>
      </c>
      <c r="W7" s="6">
        <v>-20919</v>
      </c>
      <c r="X7" s="6">
        <v>-21887</v>
      </c>
      <c r="Y7" s="6">
        <v>-21064</v>
      </c>
      <c r="Z7" s="6">
        <v>-25780</v>
      </c>
      <c r="AA7" s="6">
        <v>-24798</v>
      </c>
      <c r="AB7" s="6">
        <v>-28465</v>
      </c>
      <c r="AC7" s="6">
        <v>-27030</v>
      </c>
      <c r="AD7" s="6">
        <v>-29157</v>
      </c>
      <c r="AE7" s="6">
        <v>-29047</v>
      </c>
      <c r="AF7" s="6">
        <v>-31749</v>
      </c>
      <c r="AG7" s="6">
        <v>-29981</v>
      </c>
      <c r="AH7" s="6">
        <v>-33646</v>
      </c>
      <c r="AI7" s="6">
        <v>-35526</v>
      </c>
      <c r="AJ7" s="6">
        <v>-36582</v>
      </c>
      <c r="AK7" s="84"/>
      <c r="AL7" s="85"/>
    </row>
    <row r="8" spans="1:41" ht="16.399999999999999" customHeight="1">
      <c r="A8" s="43" t="s">
        <v>3</v>
      </c>
      <c r="B8" s="43" t="s">
        <v>101</v>
      </c>
      <c r="C8" s="13">
        <f t="shared" ref="C8:K8" si="1">SUM(C6:C7)</f>
        <v>155495</v>
      </c>
      <c r="D8" s="13">
        <f t="shared" si="1"/>
        <v>318584</v>
      </c>
      <c r="E8" s="13">
        <f t="shared" si="1"/>
        <v>469474</v>
      </c>
      <c r="F8" s="13">
        <f t="shared" si="1"/>
        <v>611673</v>
      </c>
      <c r="G8" s="13">
        <f t="shared" si="1"/>
        <v>156750</v>
      </c>
      <c r="H8" s="13">
        <f t="shared" si="1"/>
        <v>304139</v>
      </c>
      <c r="I8" s="13">
        <f t="shared" si="1"/>
        <v>455726</v>
      </c>
      <c r="J8" s="13">
        <f t="shared" si="1"/>
        <v>596173</v>
      </c>
      <c r="K8" s="13">
        <f t="shared" si="1"/>
        <v>134352</v>
      </c>
      <c r="L8" s="13">
        <f>SUM(L6:L7)</f>
        <v>274136</v>
      </c>
      <c r="M8" s="13">
        <f>SUM(M6:M7)</f>
        <v>424328</v>
      </c>
      <c r="N8" s="13">
        <f>SUM(N6:N7)</f>
        <v>581024</v>
      </c>
      <c r="O8" s="13">
        <f>SUM(O6:O7)</f>
        <v>166117</v>
      </c>
      <c r="P8" s="13">
        <v>328635</v>
      </c>
      <c r="Q8" s="13">
        <f>SUM(Q6:Q7)</f>
        <v>494173</v>
      </c>
      <c r="R8" s="13">
        <f>SUM(R6:R7)</f>
        <v>663553</v>
      </c>
      <c r="T8" s="49" t="s">
        <v>3</v>
      </c>
      <c r="U8" s="7">
        <v>155495</v>
      </c>
      <c r="V8" s="7">
        <v>163089</v>
      </c>
      <c r="W8" s="7">
        <v>150890</v>
      </c>
      <c r="X8" s="7">
        <v>142199</v>
      </c>
      <c r="Y8" s="7">
        <v>156750</v>
      </c>
      <c r="Z8" s="7">
        <v>147389</v>
      </c>
      <c r="AA8" s="7">
        <v>151587</v>
      </c>
      <c r="AB8" s="7">
        <v>140447</v>
      </c>
      <c r="AC8" s="7">
        <v>134352</v>
      </c>
      <c r="AD8" s="7">
        <v>139784</v>
      </c>
      <c r="AE8" s="7">
        <v>150192</v>
      </c>
      <c r="AF8" s="7">
        <v>156696</v>
      </c>
      <c r="AG8" s="7">
        <v>166117</v>
      </c>
      <c r="AH8" s="7">
        <v>162518</v>
      </c>
      <c r="AI8" s="7">
        <v>165538</v>
      </c>
      <c r="AJ8" s="7">
        <v>169380</v>
      </c>
      <c r="AK8" s="86"/>
      <c r="AL8" s="87"/>
    </row>
    <row r="9" spans="1:41">
      <c r="A9" s="41" t="s">
        <v>4</v>
      </c>
      <c r="B9" s="41" t="s">
        <v>102</v>
      </c>
      <c r="C9" s="12">
        <v>0</v>
      </c>
      <c r="D9" s="12">
        <v>1842</v>
      </c>
      <c r="E9" s="12">
        <v>1851</v>
      </c>
      <c r="F9" s="12">
        <v>1851</v>
      </c>
      <c r="G9" s="12">
        <v>1</v>
      </c>
      <c r="H9" s="12">
        <v>1378</v>
      </c>
      <c r="I9" s="12">
        <v>2270</v>
      </c>
      <c r="J9" s="12">
        <v>2271</v>
      </c>
      <c r="K9" s="12">
        <v>0</v>
      </c>
      <c r="L9" s="12">
        <v>1775</v>
      </c>
      <c r="M9" s="12">
        <v>1907</v>
      </c>
      <c r="N9" s="12">
        <v>1909</v>
      </c>
      <c r="O9" s="12">
        <v>285</v>
      </c>
      <c r="P9" s="12">
        <v>2326</v>
      </c>
      <c r="Q9" s="12">
        <v>2465</v>
      </c>
      <c r="R9" s="12">
        <v>2612</v>
      </c>
      <c r="T9" s="39" t="s">
        <v>4</v>
      </c>
      <c r="U9" s="6">
        <v>0</v>
      </c>
      <c r="V9" s="6">
        <v>1842</v>
      </c>
      <c r="W9" s="6">
        <v>9</v>
      </c>
      <c r="X9" s="6">
        <v>0</v>
      </c>
      <c r="Y9" s="6">
        <v>1</v>
      </c>
      <c r="Z9" s="6">
        <v>1377</v>
      </c>
      <c r="AA9" s="6">
        <v>892</v>
      </c>
      <c r="AB9" s="6">
        <v>1</v>
      </c>
      <c r="AC9" s="6">
        <v>0</v>
      </c>
      <c r="AD9" s="6">
        <v>1775</v>
      </c>
      <c r="AE9" s="6">
        <v>132</v>
      </c>
      <c r="AF9" s="6">
        <v>2</v>
      </c>
      <c r="AG9" s="6">
        <v>285</v>
      </c>
      <c r="AH9" s="6">
        <v>2041</v>
      </c>
      <c r="AI9" s="6">
        <v>139</v>
      </c>
      <c r="AJ9" s="6">
        <v>147</v>
      </c>
      <c r="AK9" s="84"/>
      <c r="AL9" s="85"/>
    </row>
    <row r="10" spans="1:41" ht="17.149999999999999" customHeight="1">
      <c r="A10" s="41" t="s">
        <v>5</v>
      </c>
      <c r="B10" s="41" t="s">
        <v>103</v>
      </c>
      <c r="C10" s="12">
        <v>15187</v>
      </c>
      <c r="D10" s="12">
        <v>14891</v>
      </c>
      <c r="E10" s="12">
        <v>14905</v>
      </c>
      <c r="F10" s="12">
        <v>18447</v>
      </c>
      <c r="G10" s="12">
        <v>14318</v>
      </c>
      <c r="H10" s="12">
        <v>26495</v>
      </c>
      <c r="I10" s="12">
        <v>39137</v>
      </c>
      <c r="J10" s="12">
        <v>41852</v>
      </c>
      <c r="K10" s="12">
        <v>17097</v>
      </c>
      <c r="L10" s="12">
        <v>302469</v>
      </c>
      <c r="M10" s="12">
        <v>305014</v>
      </c>
      <c r="N10" s="12">
        <v>314689</v>
      </c>
      <c r="O10" s="12">
        <v>332</v>
      </c>
      <c r="P10" s="12">
        <v>4181</v>
      </c>
      <c r="Q10" s="12">
        <v>9219</v>
      </c>
      <c r="R10" s="12">
        <v>25288</v>
      </c>
      <c r="T10" s="39" t="s">
        <v>5</v>
      </c>
      <c r="U10" s="6">
        <v>15187</v>
      </c>
      <c r="V10" s="6">
        <v>-296</v>
      </c>
      <c r="W10" s="6">
        <v>14</v>
      </c>
      <c r="X10" s="6">
        <v>3542</v>
      </c>
      <c r="Y10" s="6">
        <v>14318</v>
      </c>
      <c r="Z10" s="6">
        <v>12177</v>
      </c>
      <c r="AA10" s="6">
        <v>12642</v>
      </c>
      <c r="AB10" s="6">
        <v>2715</v>
      </c>
      <c r="AC10" s="6">
        <v>17097</v>
      </c>
      <c r="AD10" s="6">
        <v>285372</v>
      </c>
      <c r="AE10" s="6">
        <v>2545</v>
      </c>
      <c r="AF10" s="6">
        <v>9675</v>
      </c>
      <c r="AG10" s="6">
        <v>332</v>
      </c>
      <c r="AH10" s="6">
        <v>3849</v>
      </c>
      <c r="AI10" s="6">
        <v>5038</v>
      </c>
      <c r="AJ10" s="6">
        <v>16069</v>
      </c>
      <c r="AK10" s="84"/>
      <c r="AL10" s="85"/>
    </row>
    <row r="11" spans="1:41" ht="26.9" customHeight="1">
      <c r="A11" s="41" t="s">
        <v>145</v>
      </c>
      <c r="B11" s="41" t="s">
        <v>207</v>
      </c>
      <c r="C11" s="12">
        <v>502</v>
      </c>
      <c r="D11" s="12">
        <v>1458</v>
      </c>
      <c r="E11" s="12">
        <v>7789</v>
      </c>
      <c r="F11" s="12">
        <v>21528</v>
      </c>
      <c r="G11" s="12">
        <v>23757</v>
      </c>
      <c r="H11" s="12">
        <v>29845</v>
      </c>
      <c r="I11" s="12">
        <v>9655</v>
      </c>
      <c r="J11" s="12">
        <v>15895</v>
      </c>
      <c r="K11" s="12">
        <v>-2274</v>
      </c>
      <c r="L11" s="12">
        <v>-2397</v>
      </c>
      <c r="M11" s="12">
        <v>-8862</v>
      </c>
      <c r="N11" s="12">
        <v>-9092</v>
      </c>
      <c r="O11" s="12">
        <v>-5093</v>
      </c>
      <c r="P11" s="12">
        <v>-7846</v>
      </c>
      <c r="Q11" s="12">
        <v>-11799</v>
      </c>
      <c r="R11" s="12">
        <v>-18189</v>
      </c>
      <c r="T11" s="39" t="s">
        <v>145</v>
      </c>
      <c r="U11" s="6">
        <v>502</v>
      </c>
      <c r="V11" s="6">
        <v>956</v>
      </c>
      <c r="W11" s="6">
        <v>6331</v>
      </c>
      <c r="X11" s="6">
        <v>13739</v>
      </c>
      <c r="Y11" s="6">
        <v>23757</v>
      </c>
      <c r="Z11" s="6">
        <v>6088</v>
      </c>
      <c r="AA11" s="6">
        <v>-20190</v>
      </c>
      <c r="AB11" s="6">
        <v>6240</v>
      </c>
      <c r="AC11" s="6">
        <v>-2274</v>
      </c>
      <c r="AD11" s="6">
        <v>-123</v>
      </c>
      <c r="AE11" s="6">
        <v>-6465</v>
      </c>
      <c r="AF11" s="6">
        <v>-230</v>
      </c>
      <c r="AG11" s="6">
        <v>-5093</v>
      </c>
      <c r="AH11" s="6">
        <v>-2753</v>
      </c>
      <c r="AI11" s="6">
        <v>-3953</v>
      </c>
      <c r="AJ11" s="6">
        <v>-6390</v>
      </c>
      <c r="AK11" s="84"/>
      <c r="AL11" s="85"/>
    </row>
    <row r="12" spans="1:41">
      <c r="A12" s="41" t="s">
        <v>22</v>
      </c>
      <c r="B12" s="41" t="s">
        <v>104</v>
      </c>
      <c r="C12" s="12">
        <v>37487</v>
      </c>
      <c r="D12" s="12">
        <v>76743</v>
      </c>
      <c r="E12" s="12">
        <v>116248</v>
      </c>
      <c r="F12" s="12">
        <v>150457</v>
      </c>
      <c r="G12" s="12">
        <v>5558</v>
      </c>
      <c r="H12" s="12">
        <v>29859</v>
      </c>
      <c r="I12" s="12">
        <v>74449</v>
      </c>
      <c r="J12" s="12">
        <v>106072</v>
      </c>
      <c r="K12" s="12">
        <v>32863</v>
      </c>
      <c r="L12" s="12">
        <v>62104</v>
      </c>
      <c r="M12" s="12">
        <v>101262</v>
      </c>
      <c r="N12" s="12">
        <v>132453</v>
      </c>
      <c r="O12" s="12">
        <v>40069</v>
      </c>
      <c r="P12" s="12">
        <v>81486</v>
      </c>
      <c r="Q12" s="12">
        <v>124893</v>
      </c>
      <c r="R12" s="12">
        <v>169518</v>
      </c>
      <c r="T12" s="39" t="s">
        <v>22</v>
      </c>
      <c r="U12" s="6">
        <v>37487</v>
      </c>
      <c r="V12" s="6">
        <v>39256</v>
      </c>
      <c r="W12" s="6">
        <v>39505</v>
      </c>
      <c r="X12" s="6">
        <v>34209</v>
      </c>
      <c r="Y12" s="6">
        <v>5558</v>
      </c>
      <c r="Z12" s="6">
        <v>24301</v>
      </c>
      <c r="AA12" s="6">
        <v>44590</v>
      </c>
      <c r="AB12" s="6">
        <v>31623</v>
      </c>
      <c r="AC12" s="6">
        <v>32863</v>
      </c>
      <c r="AD12" s="6">
        <v>29241</v>
      </c>
      <c r="AE12" s="6">
        <v>39158</v>
      </c>
      <c r="AF12" s="6">
        <v>31191</v>
      </c>
      <c r="AG12" s="6">
        <v>40069</v>
      </c>
      <c r="AH12" s="6">
        <v>41417</v>
      </c>
      <c r="AI12" s="6">
        <v>43407</v>
      </c>
      <c r="AJ12" s="6">
        <v>44625</v>
      </c>
      <c r="AK12" s="84"/>
      <c r="AL12" s="85"/>
      <c r="AO12" s="28"/>
    </row>
    <row r="13" spans="1:41">
      <c r="A13" s="41" t="s">
        <v>6</v>
      </c>
      <c r="B13" s="41" t="s">
        <v>105</v>
      </c>
      <c r="C13" s="12">
        <v>9754</v>
      </c>
      <c r="D13" s="12">
        <v>21658</v>
      </c>
      <c r="E13" s="12">
        <v>29623</v>
      </c>
      <c r="F13" s="12">
        <v>39440</v>
      </c>
      <c r="G13" s="12">
        <v>7320</v>
      </c>
      <c r="H13" s="12">
        <v>38477</v>
      </c>
      <c r="I13" s="12">
        <v>51247</v>
      </c>
      <c r="J13" s="12">
        <v>58274</v>
      </c>
      <c r="K13" s="12">
        <v>11046</v>
      </c>
      <c r="L13" s="12">
        <v>23465</v>
      </c>
      <c r="M13" s="12">
        <v>34785</v>
      </c>
      <c r="N13" s="12">
        <v>50556</v>
      </c>
      <c r="O13" s="12">
        <v>25458</v>
      </c>
      <c r="P13" s="12">
        <v>36438</v>
      </c>
      <c r="Q13" s="12">
        <v>57362</v>
      </c>
      <c r="R13" s="12">
        <v>69909</v>
      </c>
      <c r="T13" s="39" t="s">
        <v>6</v>
      </c>
      <c r="U13" s="6">
        <v>9754</v>
      </c>
      <c r="V13" s="6">
        <v>11904</v>
      </c>
      <c r="W13" s="6">
        <v>7965</v>
      </c>
      <c r="X13" s="6">
        <v>9817</v>
      </c>
      <c r="Y13" s="6">
        <v>7320</v>
      </c>
      <c r="Z13" s="6">
        <v>31157</v>
      </c>
      <c r="AA13" s="6">
        <v>12770</v>
      </c>
      <c r="AB13" s="6">
        <v>7027</v>
      </c>
      <c r="AC13" s="6">
        <v>11046</v>
      </c>
      <c r="AD13" s="6">
        <v>12419</v>
      </c>
      <c r="AE13" s="6">
        <v>11320</v>
      </c>
      <c r="AF13" s="6">
        <v>15771</v>
      </c>
      <c r="AG13" s="6">
        <v>25458</v>
      </c>
      <c r="AH13" s="6">
        <v>10980</v>
      </c>
      <c r="AI13" s="6">
        <v>20924</v>
      </c>
      <c r="AJ13" s="6">
        <v>12547</v>
      </c>
      <c r="AK13" s="84"/>
      <c r="AL13" s="85"/>
    </row>
    <row r="14" spans="1:41">
      <c r="A14" s="41" t="s">
        <v>11</v>
      </c>
      <c r="B14" s="41" t="s">
        <v>106</v>
      </c>
      <c r="C14" s="12">
        <v>-31093</v>
      </c>
      <c r="D14" s="12">
        <v>-57677</v>
      </c>
      <c r="E14" s="12">
        <v>-76113</v>
      </c>
      <c r="F14" s="12">
        <v>-92811</v>
      </c>
      <c r="G14" s="12">
        <v>-13244</v>
      </c>
      <c r="H14" s="12">
        <v>-40444</v>
      </c>
      <c r="I14" s="12">
        <v>-59510</v>
      </c>
      <c r="J14" s="12">
        <v>-222027</v>
      </c>
      <c r="K14" s="12">
        <v>-18715</v>
      </c>
      <c r="L14" s="12">
        <v>-97534</v>
      </c>
      <c r="M14" s="12">
        <v>-116639</v>
      </c>
      <c r="N14" s="12">
        <v>-155775</v>
      </c>
      <c r="O14" s="12">
        <v>-59375</v>
      </c>
      <c r="P14" s="12">
        <v>-74948</v>
      </c>
      <c r="Q14" s="12">
        <v>-95040</v>
      </c>
      <c r="R14" s="12">
        <v>-124390</v>
      </c>
      <c r="T14" s="39" t="s">
        <v>11</v>
      </c>
      <c r="U14" s="6">
        <v>-31093</v>
      </c>
      <c r="V14" s="6">
        <v>-26584</v>
      </c>
      <c r="W14" s="6">
        <v>-18436</v>
      </c>
      <c r="X14" s="6">
        <v>-16698</v>
      </c>
      <c r="Y14" s="6">
        <v>-13244</v>
      </c>
      <c r="Z14" s="6">
        <v>-27200</v>
      </c>
      <c r="AA14" s="6">
        <v>-19066</v>
      </c>
      <c r="AB14" s="6">
        <v>-162517</v>
      </c>
      <c r="AC14" s="6">
        <v>-18715</v>
      </c>
      <c r="AD14" s="6">
        <v>-78819</v>
      </c>
      <c r="AE14" s="6">
        <v>-19105</v>
      </c>
      <c r="AF14" s="6">
        <v>-39136</v>
      </c>
      <c r="AG14" s="6">
        <v>-59375</v>
      </c>
      <c r="AH14" s="6">
        <v>-15573</v>
      </c>
      <c r="AI14" s="6">
        <v>-20092</v>
      </c>
      <c r="AJ14" s="6">
        <v>-29350</v>
      </c>
      <c r="AK14" s="86"/>
      <c r="AL14" s="87"/>
    </row>
    <row r="15" spans="1:41">
      <c r="A15" s="43" t="s">
        <v>27</v>
      </c>
      <c r="B15" s="43" t="s">
        <v>109</v>
      </c>
      <c r="C15" s="7">
        <f t="shared" ref="C15:Q15" si="2">SUM(C9:C14,C8,C5)</f>
        <v>543857</v>
      </c>
      <c r="D15" s="7">
        <f t="shared" si="2"/>
        <v>1111368</v>
      </c>
      <c r="E15" s="7">
        <f t="shared" si="2"/>
        <v>1674770</v>
      </c>
      <c r="F15" s="7">
        <f t="shared" si="2"/>
        <v>2215555</v>
      </c>
      <c r="G15" s="7">
        <f t="shared" si="2"/>
        <v>545535</v>
      </c>
      <c r="H15" s="7">
        <f t="shared" si="2"/>
        <v>1089199</v>
      </c>
      <c r="I15" s="7">
        <f t="shared" si="2"/>
        <v>1629902</v>
      </c>
      <c r="J15" s="7">
        <f t="shared" si="2"/>
        <v>2017174</v>
      </c>
      <c r="K15" s="7">
        <f t="shared" si="2"/>
        <v>539131</v>
      </c>
      <c r="L15" s="7">
        <f t="shared" si="2"/>
        <v>1320013</v>
      </c>
      <c r="M15" s="7">
        <f t="shared" si="2"/>
        <v>1890944</v>
      </c>
      <c r="N15" s="7">
        <f t="shared" si="2"/>
        <v>2472215</v>
      </c>
      <c r="O15" s="7">
        <f t="shared" si="2"/>
        <v>578956</v>
      </c>
      <c r="P15" s="7">
        <f t="shared" si="2"/>
        <v>1211339</v>
      </c>
      <c r="Q15" s="7">
        <f t="shared" si="2"/>
        <v>1868963</v>
      </c>
      <c r="R15" s="7">
        <f>SUM(R9:R14,R8,R5)</f>
        <v>2525161</v>
      </c>
      <c r="T15" s="49" t="s">
        <v>27</v>
      </c>
      <c r="U15" s="7">
        <v>543857</v>
      </c>
      <c r="V15" s="7">
        <v>567511</v>
      </c>
      <c r="W15" s="7">
        <v>563402</v>
      </c>
      <c r="X15" s="7">
        <v>540785</v>
      </c>
      <c r="Y15" s="7">
        <v>545535</v>
      </c>
      <c r="Z15" s="7">
        <v>543664</v>
      </c>
      <c r="AA15" s="7">
        <v>540703</v>
      </c>
      <c r="AB15" s="7">
        <v>387272</v>
      </c>
      <c r="AC15" s="7">
        <v>539131</v>
      </c>
      <c r="AD15" s="7">
        <v>780882</v>
      </c>
      <c r="AE15" s="7">
        <v>570931</v>
      </c>
      <c r="AF15" s="7">
        <v>581271</v>
      </c>
      <c r="AG15" s="7">
        <v>578956</v>
      </c>
      <c r="AH15" s="7">
        <v>632383</v>
      </c>
      <c r="AI15" s="7">
        <v>657624</v>
      </c>
      <c r="AJ15" s="7">
        <v>656198</v>
      </c>
      <c r="AK15" s="84"/>
      <c r="AL15" s="85"/>
    </row>
    <row r="16" spans="1:41" ht="17.149999999999999" customHeight="1">
      <c r="A16" s="41" t="s">
        <v>7</v>
      </c>
      <c r="B16" s="41" t="s">
        <v>107</v>
      </c>
      <c r="C16" s="12">
        <v>-261161</v>
      </c>
      <c r="D16" s="12">
        <v>-527554</v>
      </c>
      <c r="E16" s="12">
        <v>-792487</v>
      </c>
      <c r="F16" s="12">
        <v>-1056053</v>
      </c>
      <c r="G16" s="12">
        <v>-262514</v>
      </c>
      <c r="H16" s="12">
        <v>-521230</v>
      </c>
      <c r="I16" s="12">
        <v>-774629</v>
      </c>
      <c r="J16" s="12">
        <v>-1036614</v>
      </c>
      <c r="K16" s="12">
        <v>-258360</v>
      </c>
      <c r="L16" s="12">
        <v>-524441</v>
      </c>
      <c r="M16" s="12">
        <v>-789217</v>
      </c>
      <c r="N16" s="12">
        <v>-1057466</v>
      </c>
      <c r="O16" s="12">
        <v>-257422</v>
      </c>
      <c r="P16" s="12">
        <v>-534369</v>
      </c>
      <c r="Q16" s="12">
        <v>-811889</v>
      </c>
      <c r="R16" s="12">
        <v>-1103283</v>
      </c>
      <c r="T16" s="39" t="s">
        <v>7</v>
      </c>
      <c r="U16" s="6">
        <v>-261161</v>
      </c>
      <c r="V16" s="6">
        <v>-266393</v>
      </c>
      <c r="W16" s="6">
        <v>-264933</v>
      </c>
      <c r="X16" s="6">
        <v>-263566</v>
      </c>
      <c r="Y16" s="6">
        <v>-262514</v>
      </c>
      <c r="Z16" s="6">
        <v>-258716</v>
      </c>
      <c r="AA16" s="6">
        <v>-253399</v>
      </c>
      <c r="AB16" s="6">
        <v>-261985</v>
      </c>
      <c r="AC16" s="6">
        <v>-258360</v>
      </c>
      <c r="AD16" s="6">
        <v>-266081</v>
      </c>
      <c r="AE16" s="6">
        <v>-264776</v>
      </c>
      <c r="AF16" s="6">
        <v>-268249</v>
      </c>
      <c r="AG16" s="6">
        <v>-257422</v>
      </c>
      <c r="AH16" s="6">
        <v>-276947</v>
      </c>
      <c r="AI16" s="6">
        <v>-277520</v>
      </c>
      <c r="AJ16" s="6">
        <v>-291394</v>
      </c>
      <c r="AK16" s="84"/>
      <c r="AL16" s="85"/>
    </row>
    <row r="17" spans="1:38" ht="17.149999999999999" customHeight="1">
      <c r="A17" s="41" t="s">
        <v>10</v>
      </c>
      <c r="B17" s="41" t="s">
        <v>108</v>
      </c>
      <c r="C17" s="14">
        <v>-13600</v>
      </c>
      <c r="D17" s="14">
        <v>-26736</v>
      </c>
      <c r="E17" s="14">
        <v>-39818</v>
      </c>
      <c r="F17" s="14">
        <v>-55326</v>
      </c>
      <c r="G17" s="14">
        <v>-11912</v>
      </c>
      <c r="H17" s="14">
        <v>-24437</v>
      </c>
      <c r="I17" s="14">
        <v>-37040</v>
      </c>
      <c r="J17" s="14">
        <v>-50435</v>
      </c>
      <c r="K17" s="14">
        <v>-13467</v>
      </c>
      <c r="L17" s="14">
        <v>-28345</v>
      </c>
      <c r="M17" s="14">
        <v>-41394</v>
      </c>
      <c r="N17" s="14">
        <v>-54854</v>
      </c>
      <c r="O17" s="14">
        <v>-13119</v>
      </c>
      <c r="P17" s="14">
        <v>-26859</v>
      </c>
      <c r="Q17" s="14">
        <v>-39854</v>
      </c>
      <c r="R17" s="14">
        <v>-52971</v>
      </c>
      <c r="T17" s="39" t="s">
        <v>10</v>
      </c>
      <c r="U17" s="8">
        <v>-13600</v>
      </c>
      <c r="V17" s="8">
        <v>-13136</v>
      </c>
      <c r="W17" s="8">
        <v>-13082</v>
      </c>
      <c r="X17" s="8">
        <v>-15508</v>
      </c>
      <c r="Y17" s="8">
        <v>-11912</v>
      </c>
      <c r="Z17" s="8">
        <v>-12525</v>
      </c>
      <c r="AA17" s="8">
        <v>-12603</v>
      </c>
      <c r="AB17" s="8">
        <v>-13395</v>
      </c>
      <c r="AC17" s="8">
        <v>-13467</v>
      </c>
      <c r="AD17" s="8">
        <v>-14878</v>
      </c>
      <c r="AE17" s="8">
        <v>-13049</v>
      </c>
      <c r="AF17" s="8">
        <v>-13460</v>
      </c>
      <c r="AG17" s="8">
        <v>-13119</v>
      </c>
      <c r="AH17" s="8">
        <v>-13740</v>
      </c>
      <c r="AI17" s="8">
        <v>-12995</v>
      </c>
      <c r="AJ17" s="8">
        <v>-13117</v>
      </c>
      <c r="AK17" s="84"/>
      <c r="AL17" s="85"/>
    </row>
    <row r="18" spans="1:38">
      <c r="A18" s="43" t="s">
        <v>28</v>
      </c>
      <c r="B18" s="43" t="s">
        <v>110</v>
      </c>
      <c r="C18" s="7">
        <f t="shared" ref="C18:K18" si="3">SUM(C16:C17)</f>
        <v>-274761</v>
      </c>
      <c r="D18" s="7">
        <f t="shared" si="3"/>
        <v>-554290</v>
      </c>
      <c r="E18" s="7">
        <f t="shared" si="3"/>
        <v>-832305</v>
      </c>
      <c r="F18" s="7">
        <f t="shared" si="3"/>
        <v>-1111379</v>
      </c>
      <c r="G18" s="7">
        <f t="shared" si="3"/>
        <v>-274426</v>
      </c>
      <c r="H18" s="7">
        <f t="shared" si="3"/>
        <v>-545667</v>
      </c>
      <c r="I18" s="7">
        <f t="shared" si="3"/>
        <v>-811669</v>
      </c>
      <c r="J18" s="7">
        <f t="shared" si="3"/>
        <v>-1087049</v>
      </c>
      <c r="K18" s="7">
        <f t="shared" si="3"/>
        <v>-271827</v>
      </c>
      <c r="L18" s="7">
        <f t="shared" ref="L18:Q18" si="4">SUM(L16:L17)</f>
        <v>-552786</v>
      </c>
      <c r="M18" s="7">
        <f t="shared" si="4"/>
        <v>-830611</v>
      </c>
      <c r="N18" s="7">
        <f t="shared" si="4"/>
        <v>-1112320</v>
      </c>
      <c r="O18" s="7">
        <f t="shared" si="4"/>
        <v>-270541</v>
      </c>
      <c r="P18" s="7">
        <f t="shared" si="4"/>
        <v>-561228</v>
      </c>
      <c r="Q18" s="7">
        <f t="shared" si="4"/>
        <v>-851743</v>
      </c>
      <c r="R18" s="7">
        <f>SUM(R16:R17)</f>
        <v>-1156254</v>
      </c>
      <c r="T18" s="49" t="s">
        <v>28</v>
      </c>
      <c r="U18" s="7">
        <v>-274761</v>
      </c>
      <c r="V18" s="7">
        <v>-279529</v>
      </c>
      <c r="W18" s="7">
        <v>-278015</v>
      </c>
      <c r="X18" s="7">
        <v>-279074</v>
      </c>
      <c r="Y18" s="7">
        <v>-274426</v>
      </c>
      <c r="Z18" s="7">
        <v>-271241</v>
      </c>
      <c r="AA18" s="7">
        <v>-266002</v>
      </c>
      <c r="AB18" s="7">
        <v>-275380</v>
      </c>
      <c r="AC18" s="7">
        <v>-271827</v>
      </c>
      <c r="AD18" s="7">
        <v>-280959</v>
      </c>
      <c r="AE18" s="7">
        <v>-277825</v>
      </c>
      <c r="AF18" s="7">
        <v>-281709</v>
      </c>
      <c r="AG18" s="7">
        <v>-270541</v>
      </c>
      <c r="AH18" s="7">
        <v>-290687</v>
      </c>
      <c r="AI18" s="7">
        <v>-290515</v>
      </c>
      <c r="AJ18" s="7">
        <v>-304511</v>
      </c>
      <c r="AK18" s="84"/>
      <c r="AL18" s="88"/>
    </row>
    <row r="19" spans="1:38" ht="24">
      <c r="A19" s="41" t="s">
        <v>8</v>
      </c>
      <c r="B19" s="41" t="s">
        <v>111</v>
      </c>
      <c r="C19" s="12">
        <v>-65626</v>
      </c>
      <c r="D19" s="12">
        <v>-139442</v>
      </c>
      <c r="E19" s="12">
        <v>-201137</v>
      </c>
      <c r="F19" s="12">
        <v>-265041</v>
      </c>
      <c r="G19" s="12">
        <v>-67844</v>
      </c>
      <c r="H19" s="12">
        <v>-127183</v>
      </c>
      <c r="I19" s="12">
        <v>-195403</v>
      </c>
      <c r="J19" s="12">
        <v>-239833</v>
      </c>
      <c r="K19" s="12">
        <v>-43357</v>
      </c>
      <c r="L19" s="12">
        <v>-104759</v>
      </c>
      <c r="M19" s="12">
        <v>-156897</v>
      </c>
      <c r="N19" s="12">
        <v>-227804</v>
      </c>
      <c r="O19" s="12">
        <v>-59501</v>
      </c>
      <c r="P19" s="12">
        <v>-122280</v>
      </c>
      <c r="Q19" s="12">
        <v>-191456</v>
      </c>
      <c r="R19" s="12">
        <v>-254159</v>
      </c>
      <c r="T19" s="39" t="s">
        <v>8</v>
      </c>
      <c r="U19" s="6">
        <v>-65626</v>
      </c>
      <c r="V19" s="6">
        <v>-73816</v>
      </c>
      <c r="W19" s="6">
        <v>-61695</v>
      </c>
      <c r="X19" s="6">
        <v>-63904</v>
      </c>
      <c r="Y19" s="6">
        <v>-67844</v>
      </c>
      <c r="Z19" s="6">
        <v>-59339</v>
      </c>
      <c r="AA19" s="6">
        <v>-68220</v>
      </c>
      <c r="AB19" s="6">
        <v>-44430</v>
      </c>
      <c r="AC19" s="6">
        <v>-43357</v>
      </c>
      <c r="AD19" s="6">
        <v>-61402</v>
      </c>
      <c r="AE19" s="6">
        <v>-52138</v>
      </c>
      <c r="AF19" s="6">
        <v>-70907</v>
      </c>
      <c r="AG19" s="6">
        <v>-59501</v>
      </c>
      <c r="AH19" s="6">
        <v>-62779</v>
      </c>
      <c r="AI19" s="6">
        <v>-69176</v>
      </c>
      <c r="AJ19" s="6">
        <v>-62703</v>
      </c>
      <c r="AK19" s="84"/>
      <c r="AL19" s="85"/>
    </row>
    <row r="20" spans="1:38" ht="24">
      <c r="A20" s="41" t="s">
        <v>9</v>
      </c>
      <c r="B20" s="41" t="s">
        <v>112</v>
      </c>
      <c r="C20" s="12">
        <v>-73</v>
      </c>
      <c r="D20" s="12">
        <v>-349</v>
      </c>
      <c r="E20" s="12">
        <v>-351</v>
      </c>
      <c r="F20" s="12">
        <v>-430</v>
      </c>
      <c r="G20" s="12">
        <v>6</v>
      </c>
      <c r="H20" s="12">
        <v>6</v>
      </c>
      <c r="I20" s="12">
        <v>-610</v>
      </c>
      <c r="J20" s="12">
        <v>-1400</v>
      </c>
      <c r="K20" s="12">
        <v>-971</v>
      </c>
      <c r="L20" s="12">
        <v>-1313</v>
      </c>
      <c r="M20" s="12">
        <v>-2646</v>
      </c>
      <c r="N20" s="12">
        <v>-3390</v>
      </c>
      <c r="O20" s="12">
        <v>-230</v>
      </c>
      <c r="P20" s="12">
        <v>-421</v>
      </c>
      <c r="Q20" s="12">
        <v>-943</v>
      </c>
      <c r="R20" s="12">
        <v>-1199</v>
      </c>
      <c r="T20" s="39" t="s">
        <v>9</v>
      </c>
      <c r="U20" s="6">
        <v>-73</v>
      </c>
      <c r="V20" s="6">
        <v>-276</v>
      </c>
      <c r="W20" s="6">
        <v>-2</v>
      </c>
      <c r="X20" s="6">
        <v>-79</v>
      </c>
      <c r="Y20" s="6">
        <v>6</v>
      </c>
      <c r="Z20" s="6">
        <v>0</v>
      </c>
      <c r="AA20" s="6">
        <v>-616</v>
      </c>
      <c r="AB20" s="6">
        <v>-790</v>
      </c>
      <c r="AC20" s="6">
        <v>-971</v>
      </c>
      <c r="AD20" s="6">
        <v>-342</v>
      </c>
      <c r="AE20" s="6">
        <v>-1333</v>
      </c>
      <c r="AF20" s="6">
        <v>-744</v>
      </c>
      <c r="AG20" s="6">
        <v>-230</v>
      </c>
      <c r="AH20" s="6">
        <v>-191</v>
      </c>
      <c r="AI20" s="6">
        <v>-522</v>
      </c>
      <c r="AJ20" s="6">
        <v>-256</v>
      </c>
      <c r="AK20" s="86"/>
      <c r="AL20" s="87"/>
    </row>
    <row r="21" spans="1:38" ht="16.399999999999999" customHeight="1">
      <c r="A21" s="43" t="s">
        <v>12</v>
      </c>
      <c r="B21" s="43" t="s">
        <v>113</v>
      </c>
      <c r="C21" s="13">
        <f t="shared" ref="C21:K21" si="5">SUM(C19:C20,C18,C15)</f>
        <v>203397</v>
      </c>
      <c r="D21" s="13">
        <f t="shared" si="5"/>
        <v>417287</v>
      </c>
      <c r="E21" s="13">
        <f t="shared" si="5"/>
        <v>640977</v>
      </c>
      <c r="F21" s="13">
        <f t="shared" si="5"/>
        <v>838705</v>
      </c>
      <c r="G21" s="13">
        <f t="shared" si="5"/>
        <v>203271</v>
      </c>
      <c r="H21" s="13">
        <f t="shared" si="5"/>
        <v>416355</v>
      </c>
      <c r="I21" s="13">
        <f t="shared" si="5"/>
        <v>622220</v>
      </c>
      <c r="J21" s="13">
        <f t="shared" si="5"/>
        <v>688892</v>
      </c>
      <c r="K21" s="13">
        <f t="shared" si="5"/>
        <v>222976</v>
      </c>
      <c r="L21" s="13">
        <f t="shared" ref="L21:Q21" si="6">SUM(L19:L20,L18,L15)</f>
        <v>661155</v>
      </c>
      <c r="M21" s="13">
        <f t="shared" si="6"/>
        <v>900790</v>
      </c>
      <c r="N21" s="13">
        <f t="shared" si="6"/>
        <v>1128701</v>
      </c>
      <c r="O21" s="13">
        <f t="shared" si="6"/>
        <v>248684</v>
      </c>
      <c r="P21" s="13">
        <f t="shared" si="6"/>
        <v>527410</v>
      </c>
      <c r="Q21" s="13">
        <f t="shared" si="6"/>
        <v>824821</v>
      </c>
      <c r="R21" s="13">
        <f>SUM(R19:R20,R18,R15)</f>
        <v>1113549</v>
      </c>
      <c r="T21" s="49" t="s">
        <v>12</v>
      </c>
      <c r="U21" s="7">
        <v>203397</v>
      </c>
      <c r="V21" s="7">
        <v>213890</v>
      </c>
      <c r="W21" s="7">
        <v>223690</v>
      </c>
      <c r="X21" s="7">
        <v>197728</v>
      </c>
      <c r="Y21" s="7">
        <v>203271</v>
      </c>
      <c r="Z21" s="7">
        <v>213084</v>
      </c>
      <c r="AA21" s="7">
        <v>205865</v>
      </c>
      <c r="AB21" s="7">
        <v>66672</v>
      </c>
      <c r="AC21" s="7">
        <v>222976</v>
      </c>
      <c r="AD21" s="7">
        <v>438179</v>
      </c>
      <c r="AE21" s="7">
        <v>239635</v>
      </c>
      <c r="AF21" s="7">
        <v>227911</v>
      </c>
      <c r="AG21" s="7">
        <v>248684</v>
      </c>
      <c r="AH21" s="7">
        <v>278726</v>
      </c>
      <c r="AI21" s="7">
        <v>297411</v>
      </c>
      <c r="AJ21" s="7">
        <v>288728</v>
      </c>
      <c r="AK21" s="86"/>
      <c r="AL21" s="87"/>
    </row>
    <row r="22" spans="1:38" ht="15" customHeight="1">
      <c r="A22" s="41" t="s">
        <v>13</v>
      </c>
      <c r="B22" s="41" t="s">
        <v>114</v>
      </c>
      <c r="C22" s="12">
        <v>0</v>
      </c>
      <c r="D22" s="12">
        <v>0</v>
      </c>
      <c r="E22" s="12">
        <v>0</v>
      </c>
      <c r="F22" s="12">
        <v>-246</v>
      </c>
      <c r="G22" s="12">
        <v>-1426</v>
      </c>
      <c r="H22" s="12">
        <v>-1385</v>
      </c>
      <c r="I22" s="12">
        <v>-1385</v>
      </c>
      <c r="J22" s="12">
        <v>-1385</v>
      </c>
      <c r="K22" s="12">
        <v>0</v>
      </c>
      <c r="L22" s="12">
        <v>0</v>
      </c>
      <c r="M22" s="12">
        <v>0</v>
      </c>
      <c r="N22" s="12">
        <v>-1376</v>
      </c>
      <c r="O22" s="12">
        <v>0</v>
      </c>
      <c r="P22" s="12">
        <v>0</v>
      </c>
      <c r="Q22" s="12">
        <v>0</v>
      </c>
      <c r="R22" s="12">
        <v>0</v>
      </c>
      <c r="T22" s="39" t="s">
        <v>13</v>
      </c>
      <c r="U22" s="6">
        <v>0</v>
      </c>
      <c r="V22" s="6">
        <v>0</v>
      </c>
      <c r="W22" s="6">
        <v>0</v>
      </c>
      <c r="X22" s="6">
        <v>-246</v>
      </c>
      <c r="Y22" s="6">
        <v>-1426</v>
      </c>
      <c r="Z22" s="6">
        <v>41</v>
      </c>
      <c r="AA22" s="6">
        <v>0</v>
      </c>
      <c r="AB22" s="6">
        <v>0</v>
      </c>
      <c r="AC22" s="6">
        <v>0</v>
      </c>
      <c r="AD22" s="6">
        <v>0</v>
      </c>
      <c r="AE22" s="6">
        <v>0</v>
      </c>
      <c r="AF22" s="6">
        <v>-1376</v>
      </c>
      <c r="AG22" s="6">
        <v>0</v>
      </c>
      <c r="AH22" s="6">
        <v>0</v>
      </c>
      <c r="AI22" s="6">
        <v>0</v>
      </c>
      <c r="AJ22" s="6">
        <v>0</v>
      </c>
      <c r="AK22" s="84"/>
      <c r="AL22" s="85"/>
    </row>
    <row r="23" spans="1:38" ht="15" customHeight="1">
      <c r="A23" s="41" t="s">
        <v>247</v>
      </c>
      <c r="B23" s="41" t="s">
        <v>248</v>
      </c>
      <c r="C23" s="12"/>
      <c r="D23" s="12"/>
      <c r="E23" s="12"/>
      <c r="F23" s="12"/>
      <c r="G23" s="12"/>
      <c r="H23" s="12"/>
      <c r="I23" s="12"/>
      <c r="J23" s="12"/>
      <c r="K23" s="12">
        <v>-32289</v>
      </c>
      <c r="L23" s="12">
        <v>-80536</v>
      </c>
      <c r="M23" s="12">
        <v>-127942</v>
      </c>
      <c r="N23" s="12">
        <v>-174069</v>
      </c>
      <c r="O23" s="12">
        <v>-47230</v>
      </c>
      <c r="P23" s="12">
        <v>-93680</v>
      </c>
      <c r="Q23" s="12">
        <v>-140056</v>
      </c>
      <c r="R23" s="12">
        <v>-188326</v>
      </c>
      <c r="T23" s="39" t="s">
        <v>247</v>
      </c>
      <c r="U23" s="6"/>
      <c r="V23" s="6"/>
      <c r="W23" s="6"/>
      <c r="X23" s="6"/>
      <c r="Y23" s="6"/>
      <c r="Z23" s="6"/>
      <c r="AA23" s="6"/>
      <c r="AB23" s="6"/>
      <c r="AC23" s="6">
        <v>-32289</v>
      </c>
      <c r="AD23" s="6">
        <v>-48247</v>
      </c>
      <c r="AE23" s="6">
        <v>-47406</v>
      </c>
      <c r="AF23" s="6">
        <v>-46127</v>
      </c>
      <c r="AG23" s="6">
        <v>-47230</v>
      </c>
      <c r="AH23" s="6">
        <v>-46450</v>
      </c>
      <c r="AI23" s="6">
        <v>-46376</v>
      </c>
      <c r="AJ23" s="6">
        <v>-48270</v>
      </c>
      <c r="AK23" s="86"/>
      <c r="AL23" s="87"/>
    </row>
    <row r="24" spans="1:38" ht="16.399999999999999" customHeight="1">
      <c r="A24" s="43" t="s">
        <v>14</v>
      </c>
      <c r="B24" s="43" t="s">
        <v>115</v>
      </c>
      <c r="C24" s="13">
        <f t="shared" ref="C24:J24" si="7">C21+C22</f>
        <v>203397</v>
      </c>
      <c r="D24" s="13">
        <f t="shared" si="7"/>
        <v>417287</v>
      </c>
      <c r="E24" s="13">
        <f t="shared" si="7"/>
        <v>640977</v>
      </c>
      <c r="F24" s="13">
        <f t="shared" si="7"/>
        <v>838459</v>
      </c>
      <c r="G24" s="13">
        <f t="shared" si="7"/>
        <v>201845</v>
      </c>
      <c r="H24" s="13">
        <f t="shared" si="7"/>
        <v>414970</v>
      </c>
      <c r="I24" s="13">
        <f t="shared" si="7"/>
        <v>620835</v>
      </c>
      <c r="J24" s="13">
        <f t="shared" si="7"/>
        <v>687507</v>
      </c>
      <c r="K24" s="13">
        <f t="shared" ref="K24:Q24" si="8">K21+K22+K23</f>
        <v>190687</v>
      </c>
      <c r="L24" s="13">
        <f t="shared" si="8"/>
        <v>580619</v>
      </c>
      <c r="M24" s="13">
        <f t="shared" si="8"/>
        <v>772848</v>
      </c>
      <c r="N24" s="13">
        <f t="shared" si="8"/>
        <v>953256</v>
      </c>
      <c r="O24" s="13">
        <f t="shared" si="8"/>
        <v>201454</v>
      </c>
      <c r="P24" s="13">
        <f t="shared" si="8"/>
        <v>433730</v>
      </c>
      <c r="Q24" s="13">
        <f t="shared" si="8"/>
        <v>684765</v>
      </c>
      <c r="R24" s="13">
        <f>R21+R22+R23</f>
        <v>925223</v>
      </c>
      <c r="T24" s="49" t="s">
        <v>14</v>
      </c>
      <c r="U24" s="7">
        <v>203397</v>
      </c>
      <c r="V24" s="7">
        <v>213890</v>
      </c>
      <c r="W24" s="7">
        <v>223690</v>
      </c>
      <c r="X24" s="7">
        <v>197482</v>
      </c>
      <c r="Y24" s="7">
        <v>201845</v>
      </c>
      <c r="Z24" s="7">
        <v>213125</v>
      </c>
      <c r="AA24" s="7">
        <v>205865</v>
      </c>
      <c r="AB24" s="7">
        <v>66672</v>
      </c>
      <c r="AC24" s="7">
        <v>190687</v>
      </c>
      <c r="AD24" s="7">
        <v>389932</v>
      </c>
      <c r="AE24" s="7">
        <v>192229</v>
      </c>
      <c r="AF24" s="7">
        <v>180408</v>
      </c>
      <c r="AG24" s="7">
        <v>201454</v>
      </c>
      <c r="AH24" s="7">
        <v>232276</v>
      </c>
      <c r="AI24" s="7">
        <v>251035</v>
      </c>
      <c r="AJ24" s="7">
        <v>240458</v>
      </c>
      <c r="AK24" s="84"/>
      <c r="AL24" s="85"/>
    </row>
    <row r="25" spans="1:38" ht="12.5" thickBot="1">
      <c r="A25" s="44" t="s">
        <v>15</v>
      </c>
      <c r="B25" s="44" t="s">
        <v>117</v>
      </c>
      <c r="C25" s="15">
        <v>-46949</v>
      </c>
      <c r="D25" s="15">
        <v>-97223</v>
      </c>
      <c r="E25" s="15">
        <v>-147729</v>
      </c>
      <c r="F25" s="15">
        <v>-187539</v>
      </c>
      <c r="G25" s="15">
        <v>-39276</v>
      </c>
      <c r="H25" s="15">
        <v>-87163</v>
      </c>
      <c r="I25" s="15">
        <v>-127353</v>
      </c>
      <c r="J25" s="15">
        <v>-140982</v>
      </c>
      <c r="K25" s="15">
        <v>-53502</v>
      </c>
      <c r="L25" s="15">
        <v>-149670</v>
      </c>
      <c r="M25" s="15">
        <v>-203087</v>
      </c>
      <c r="N25" s="15">
        <v>-252004</v>
      </c>
      <c r="O25" s="15">
        <v>-60956</v>
      </c>
      <c r="P25" s="15">
        <v>-119634</v>
      </c>
      <c r="Q25" s="15">
        <v>-183185</v>
      </c>
      <c r="R25" s="15">
        <v>-243996</v>
      </c>
      <c r="T25" s="50" t="s">
        <v>15</v>
      </c>
      <c r="U25" s="9">
        <v>-46949</v>
      </c>
      <c r="V25" s="9">
        <v>-50274</v>
      </c>
      <c r="W25" s="9">
        <v>-50506</v>
      </c>
      <c r="X25" s="9">
        <v>-39810</v>
      </c>
      <c r="Y25" s="9">
        <v>-39276</v>
      </c>
      <c r="Z25" s="9">
        <v>-47887</v>
      </c>
      <c r="AA25" s="9">
        <v>-40190</v>
      </c>
      <c r="AB25" s="9">
        <v>-13629</v>
      </c>
      <c r="AC25" s="9">
        <v>-53502</v>
      </c>
      <c r="AD25" s="9">
        <v>-96168</v>
      </c>
      <c r="AE25" s="9">
        <v>-53417</v>
      </c>
      <c r="AF25" s="9">
        <v>-48917</v>
      </c>
      <c r="AG25" s="9">
        <v>-60956</v>
      </c>
      <c r="AH25" s="9">
        <v>-58678</v>
      </c>
      <c r="AI25" s="9">
        <v>-63551</v>
      </c>
      <c r="AJ25" s="9">
        <v>-60811</v>
      </c>
      <c r="AK25" s="86"/>
      <c r="AL25" s="87"/>
    </row>
    <row r="26" spans="1:38" ht="16.399999999999999" customHeight="1" thickBot="1">
      <c r="A26" s="45" t="s">
        <v>16</v>
      </c>
      <c r="B26" s="45" t="s">
        <v>116</v>
      </c>
      <c r="C26" s="3">
        <f t="shared" ref="C26:K26" si="9">+C25+C24</f>
        <v>156448</v>
      </c>
      <c r="D26" s="3">
        <f t="shared" si="9"/>
        <v>320064</v>
      </c>
      <c r="E26" s="3">
        <f t="shared" si="9"/>
        <v>493248</v>
      </c>
      <c r="F26" s="3">
        <f t="shared" si="9"/>
        <v>650920</v>
      </c>
      <c r="G26" s="3">
        <f t="shared" si="9"/>
        <v>162569</v>
      </c>
      <c r="H26" s="3">
        <f t="shared" si="9"/>
        <v>327807</v>
      </c>
      <c r="I26" s="3">
        <f t="shared" si="9"/>
        <v>493482</v>
      </c>
      <c r="J26" s="3">
        <f t="shared" si="9"/>
        <v>546525</v>
      </c>
      <c r="K26" s="3">
        <f t="shared" si="9"/>
        <v>137185</v>
      </c>
      <c r="L26" s="3">
        <f t="shared" ref="L26:Q26" si="10">+L25+L24</f>
        <v>430949</v>
      </c>
      <c r="M26" s="3">
        <f t="shared" si="10"/>
        <v>569761</v>
      </c>
      <c r="N26" s="3">
        <f t="shared" si="10"/>
        <v>701252</v>
      </c>
      <c r="O26" s="3">
        <f t="shared" si="10"/>
        <v>140498</v>
      </c>
      <c r="P26" s="3">
        <f t="shared" si="10"/>
        <v>314096</v>
      </c>
      <c r="Q26" s="3">
        <f t="shared" si="10"/>
        <v>501580</v>
      </c>
      <c r="R26" s="3">
        <f>+R25+R24</f>
        <v>681227</v>
      </c>
      <c r="T26" s="40" t="s">
        <v>16</v>
      </c>
      <c r="U26" s="3">
        <v>156448</v>
      </c>
      <c r="V26" s="3">
        <v>163616</v>
      </c>
      <c r="W26" s="3">
        <v>173184</v>
      </c>
      <c r="X26" s="3">
        <v>157672</v>
      </c>
      <c r="Y26" s="3">
        <v>162569</v>
      </c>
      <c r="Z26" s="3">
        <v>165238</v>
      </c>
      <c r="AA26" s="3">
        <v>165675</v>
      </c>
      <c r="AB26" s="3">
        <v>53043</v>
      </c>
      <c r="AC26" s="3">
        <v>137185</v>
      </c>
      <c r="AD26" s="3">
        <v>293764</v>
      </c>
      <c r="AE26" s="3">
        <v>138812</v>
      </c>
      <c r="AF26" s="3">
        <v>131491</v>
      </c>
      <c r="AG26" s="3">
        <v>140498</v>
      </c>
      <c r="AH26" s="3">
        <v>173598</v>
      </c>
      <c r="AI26" s="3">
        <v>187484</v>
      </c>
      <c r="AJ26" s="3">
        <v>179647</v>
      </c>
      <c r="AK26" s="84"/>
      <c r="AL26" s="85"/>
    </row>
    <row r="27" spans="1:38">
      <c r="A27" s="42" t="s">
        <v>17</v>
      </c>
      <c r="B27" s="42" t="s">
        <v>92</v>
      </c>
      <c r="C27" s="16"/>
      <c r="D27" s="16"/>
      <c r="E27" s="16"/>
      <c r="F27" s="16"/>
      <c r="G27" s="16"/>
      <c r="H27" s="16"/>
      <c r="I27" s="16"/>
      <c r="J27" s="16"/>
      <c r="K27" s="16"/>
      <c r="L27" s="16"/>
      <c r="M27" s="16"/>
      <c r="N27" s="16"/>
      <c r="O27" s="16"/>
      <c r="P27" s="16"/>
      <c r="Q27" s="16"/>
      <c r="R27" s="16"/>
      <c r="T27" s="51" t="s">
        <v>17</v>
      </c>
      <c r="U27" s="10"/>
      <c r="V27" s="10"/>
      <c r="W27" s="10"/>
      <c r="X27" s="10"/>
      <c r="Y27" s="10"/>
      <c r="Z27" s="10">
        <v>0</v>
      </c>
      <c r="AA27" s="10"/>
      <c r="AB27" s="10"/>
      <c r="AC27" s="10"/>
      <c r="AD27" s="10"/>
      <c r="AE27" s="10">
        <v>0</v>
      </c>
      <c r="AF27" s="10"/>
      <c r="AG27" s="10"/>
      <c r="AH27" s="10"/>
      <c r="AI27" s="10"/>
      <c r="AJ27" s="10"/>
      <c r="AK27" s="89"/>
      <c r="AL27" s="85"/>
    </row>
    <row r="28" spans="1:38" ht="14.9" customHeight="1">
      <c r="A28" s="46" t="s">
        <v>18</v>
      </c>
      <c r="B28" s="46" t="s">
        <v>93</v>
      </c>
      <c r="C28" s="12">
        <v>156448</v>
      </c>
      <c r="D28" s="12">
        <v>320064</v>
      </c>
      <c r="E28" s="12">
        <v>493248</v>
      </c>
      <c r="F28" s="12">
        <v>650920</v>
      </c>
      <c r="G28" s="12">
        <v>162569</v>
      </c>
      <c r="H28" s="12">
        <v>327807</v>
      </c>
      <c r="I28" s="12">
        <v>493482</v>
      </c>
      <c r="J28" s="12">
        <v>546525</v>
      </c>
      <c r="K28" s="12">
        <v>137185</v>
      </c>
      <c r="L28" s="12">
        <v>430949</v>
      </c>
      <c r="M28" s="12">
        <v>569761</v>
      </c>
      <c r="N28" s="12">
        <f>+N26</f>
        <v>701252</v>
      </c>
      <c r="O28" s="12">
        <f>+O26</f>
        <v>140498</v>
      </c>
      <c r="P28" s="12">
        <v>314096</v>
      </c>
      <c r="Q28" s="12">
        <f>+Q26</f>
        <v>501580</v>
      </c>
      <c r="R28" s="12">
        <f>+R26</f>
        <v>681227</v>
      </c>
      <c r="T28" s="52" t="s">
        <v>18</v>
      </c>
      <c r="U28" s="6">
        <v>156448</v>
      </c>
      <c r="V28" s="6">
        <v>163616</v>
      </c>
      <c r="W28" s="6">
        <v>173184</v>
      </c>
      <c r="X28" s="6">
        <v>157672</v>
      </c>
      <c r="Y28" s="6">
        <v>162569</v>
      </c>
      <c r="Z28" s="6">
        <v>165238</v>
      </c>
      <c r="AA28" s="6">
        <v>165675</v>
      </c>
      <c r="AB28" s="6">
        <v>53043</v>
      </c>
      <c r="AC28" s="6">
        <v>137185</v>
      </c>
      <c r="AD28" s="6">
        <v>293764</v>
      </c>
      <c r="AE28" s="6">
        <v>138812</v>
      </c>
      <c r="AF28" s="6">
        <v>131491</v>
      </c>
      <c r="AG28" s="6">
        <v>140498</v>
      </c>
      <c r="AH28" s="6">
        <v>173598</v>
      </c>
      <c r="AI28" s="6">
        <v>187484</v>
      </c>
      <c r="AJ28" s="6">
        <v>179647</v>
      </c>
      <c r="AK28" s="89"/>
      <c r="AL28" s="85"/>
    </row>
    <row r="29" spans="1:38" ht="14.9" customHeight="1">
      <c r="A29" s="46" t="s">
        <v>19</v>
      </c>
      <c r="B29" s="46" t="s">
        <v>94</v>
      </c>
      <c r="C29" s="12">
        <v>0</v>
      </c>
      <c r="D29" s="12">
        <v>0</v>
      </c>
      <c r="E29" s="12">
        <v>0</v>
      </c>
      <c r="F29" s="12">
        <v>0</v>
      </c>
      <c r="G29" s="12">
        <v>0</v>
      </c>
      <c r="H29" s="12">
        <v>0</v>
      </c>
      <c r="I29" s="12">
        <v>0</v>
      </c>
      <c r="J29" s="12">
        <v>0</v>
      </c>
      <c r="K29" s="12">
        <v>0</v>
      </c>
      <c r="L29" s="12">
        <v>0</v>
      </c>
      <c r="M29" s="12">
        <v>0</v>
      </c>
      <c r="N29" s="12">
        <v>0</v>
      </c>
      <c r="O29" s="12">
        <v>0</v>
      </c>
      <c r="P29" s="12">
        <v>0</v>
      </c>
      <c r="Q29" s="12">
        <v>0</v>
      </c>
      <c r="R29" s="12">
        <v>0</v>
      </c>
      <c r="T29" s="52" t="s">
        <v>19</v>
      </c>
      <c r="U29" s="6">
        <v>0</v>
      </c>
      <c r="V29" s="6">
        <v>0</v>
      </c>
      <c r="W29" s="6">
        <v>0</v>
      </c>
      <c r="X29" s="6">
        <v>0</v>
      </c>
      <c r="Y29" s="6">
        <v>0</v>
      </c>
      <c r="Z29" s="6">
        <v>0</v>
      </c>
      <c r="AA29" s="6">
        <v>0</v>
      </c>
      <c r="AB29" s="6">
        <v>0</v>
      </c>
      <c r="AC29" s="6">
        <v>0</v>
      </c>
      <c r="AD29" s="6">
        <v>0</v>
      </c>
      <c r="AE29" s="6">
        <v>0</v>
      </c>
      <c r="AF29" s="6">
        <v>0</v>
      </c>
      <c r="AG29" s="6">
        <v>0</v>
      </c>
      <c r="AH29" s="6">
        <v>0</v>
      </c>
      <c r="AI29" s="6">
        <v>0</v>
      </c>
      <c r="AJ29" s="6">
        <v>0</v>
      </c>
      <c r="AK29" s="90"/>
      <c r="AL29" s="56"/>
    </row>
    <row r="30" spans="1:38" ht="17.899999999999999" customHeight="1" thickBot="1">
      <c r="A30" s="47" t="s">
        <v>20</v>
      </c>
      <c r="B30" s="47" t="s">
        <v>95</v>
      </c>
      <c r="C30" s="17">
        <v>1213116777</v>
      </c>
      <c r="D30" s="17">
        <v>1213116777</v>
      </c>
      <c r="E30" s="17">
        <v>1213116777</v>
      </c>
      <c r="F30" s="17">
        <v>1213116777</v>
      </c>
      <c r="G30" s="17">
        <v>1213116777</v>
      </c>
      <c r="H30" s="17">
        <v>1213116777</v>
      </c>
      <c r="I30" s="17">
        <v>1213116777</v>
      </c>
      <c r="J30" s="17">
        <v>1213116777</v>
      </c>
      <c r="K30" s="17">
        <v>1213116777</v>
      </c>
      <c r="L30" s="17">
        <v>1213116777</v>
      </c>
      <c r="M30" s="17">
        <v>1213116777</v>
      </c>
      <c r="N30" s="17">
        <v>1213116777</v>
      </c>
      <c r="O30" s="17">
        <v>1213116777</v>
      </c>
      <c r="P30" s="17">
        <v>1213116777</v>
      </c>
      <c r="Q30" s="17">
        <v>1213116777</v>
      </c>
      <c r="R30" s="17">
        <v>1213116777</v>
      </c>
      <c r="U30" s="27"/>
      <c r="V30" s="27"/>
      <c r="W30" s="27"/>
      <c r="X30" s="27"/>
      <c r="Y30" s="27"/>
      <c r="Z30" s="27"/>
      <c r="AA30" s="27"/>
      <c r="AB30" s="27"/>
      <c r="AC30" s="27"/>
      <c r="AD30" s="27"/>
      <c r="AE30" s="27"/>
      <c r="AF30" s="27"/>
      <c r="AG30" s="27"/>
      <c r="AH30" s="27"/>
      <c r="AK30" s="90"/>
      <c r="AL30" s="57"/>
    </row>
    <row r="31" spans="1:38" ht="12.5" thickBot="1">
      <c r="A31" s="48" t="s">
        <v>21</v>
      </c>
      <c r="B31" s="48" t="s">
        <v>96</v>
      </c>
      <c r="C31" s="18">
        <v>0.12896367684147525</v>
      </c>
      <c r="D31" s="18">
        <v>0.26383610058671214</v>
      </c>
      <c r="E31" s="18">
        <v>0.40659564631509504</v>
      </c>
      <c r="F31" s="18">
        <v>0.53656829444705634</v>
      </c>
      <c r="G31" s="18">
        <v>0.1340093576168554</v>
      </c>
      <c r="H31" s="18">
        <v>0.27021883318657625</v>
      </c>
      <c r="I31" s="18">
        <v>0.40678853788533503</v>
      </c>
      <c r="J31" s="18">
        <v>0.45051310010858087</v>
      </c>
      <c r="K31" s="18">
        <v>0.1130847438605657</v>
      </c>
      <c r="L31" s="18">
        <v>0.35524115086902308</v>
      </c>
      <c r="M31" s="18">
        <v>0.46966706816882148</v>
      </c>
      <c r="N31" s="18">
        <f>+N28*1000/N30</f>
        <v>0.57805811715354749</v>
      </c>
      <c r="O31" s="18">
        <f>+O28*1000/O30</f>
        <v>0.11581572579306601</v>
      </c>
      <c r="P31" s="18">
        <v>0.25891654122264274</v>
      </c>
      <c r="Q31" s="18">
        <f>+Q28*1000/Q30</f>
        <v>0.41346390513235809</v>
      </c>
      <c r="R31" s="18">
        <f>+R28*1000/R30</f>
        <v>0.56155105008493345</v>
      </c>
      <c r="U31" s="27"/>
      <c r="V31" s="27"/>
      <c r="W31" s="27"/>
      <c r="X31" s="27"/>
      <c r="Y31" s="27"/>
      <c r="Z31" s="27"/>
      <c r="AA31" s="27"/>
      <c r="AB31" s="27"/>
      <c r="AC31" s="27"/>
      <c r="AD31" s="27"/>
      <c r="AE31" s="27"/>
      <c r="AF31" s="27"/>
      <c r="AG31" s="27"/>
      <c r="AH31" s="27"/>
      <c r="AK31" s="91"/>
      <c r="AL31" s="91"/>
    </row>
    <row r="32" spans="1:38">
      <c r="A32" s="1" t="s">
        <v>81</v>
      </c>
      <c r="C32" s="27"/>
      <c r="D32" s="27"/>
      <c r="E32" s="27"/>
      <c r="F32" s="27"/>
      <c r="G32" s="27"/>
      <c r="H32" s="27"/>
      <c r="I32" s="27"/>
      <c r="J32" s="27"/>
      <c r="K32" s="27"/>
      <c r="L32" s="27"/>
      <c r="M32" s="27"/>
      <c r="N32" s="27"/>
      <c r="O32" s="27"/>
      <c r="P32" s="27"/>
      <c r="Q32" s="27"/>
      <c r="R32" s="27"/>
      <c r="U32" s="27"/>
      <c r="V32" s="27"/>
      <c r="W32" s="27"/>
      <c r="X32" s="27"/>
      <c r="Y32" s="27"/>
      <c r="Z32" s="27"/>
      <c r="AA32" s="27"/>
      <c r="AB32" s="27"/>
      <c r="AC32" s="27"/>
      <c r="AD32" s="27"/>
      <c r="AE32" s="27"/>
      <c r="AF32" s="27"/>
      <c r="AG32" s="27"/>
      <c r="AH32" s="27"/>
      <c r="AK32" s="1"/>
      <c r="AL32" s="1"/>
    </row>
    <row r="33" spans="1:36">
      <c r="A33" s="1" t="s">
        <v>30</v>
      </c>
      <c r="U33" s="27"/>
      <c r="V33" s="27"/>
      <c r="W33" s="27"/>
      <c r="X33" s="27"/>
      <c r="Y33" s="27"/>
      <c r="Z33" s="27"/>
      <c r="AA33" s="27"/>
      <c r="AB33" s="27"/>
      <c r="AC33" s="27"/>
      <c r="AD33" s="27"/>
      <c r="AE33" s="27"/>
      <c r="AF33" s="27"/>
      <c r="AG33" s="27"/>
      <c r="AH33" s="27"/>
    </row>
    <row r="34" spans="1:36">
      <c r="A34" s="1" t="s">
        <v>29</v>
      </c>
      <c r="U34" s="27"/>
      <c r="V34" s="27"/>
      <c r="W34" s="27"/>
      <c r="X34" s="27"/>
      <c r="Y34" s="27"/>
      <c r="Z34" s="27"/>
      <c r="AA34" s="27"/>
      <c r="AB34" s="27"/>
      <c r="AC34" s="27"/>
      <c r="AD34" s="27"/>
      <c r="AE34" s="27"/>
      <c r="AF34" s="27"/>
      <c r="AG34" s="27"/>
      <c r="AH34" s="27"/>
    </row>
    <row r="35" spans="1:36" ht="12.5">
      <c r="U35" s="92"/>
      <c r="V35" s="92"/>
      <c r="W35" s="92"/>
      <c r="X35" s="92"/>
      <c r="Y35" s="92"/>
      <c r="Z35" s="92"/>
      <c r="AA35" s="92"/>
      <c r="AB35" s="92"/>
      <c r="AC35" s="92"/>
      <c r="AD35" s="92"/>
      <c r="AE35" s="92"/>
      <c r="AF35" s="92"/>
      <c r="AG35" s="92"/>
      <c r="AH35" s="92"/>
    </row>
    <row r="36" spans="1:36">
      <c r="A36" s="93" t="s">
        <v>266</v>
      </c>
      <c r="B36" s="93" t="s">
        <v>269</v>
      </c>
      <c r="C36" s="12"/>
      <c r="D36" s="12"/>
      <c r="E36" s="12"/>
      <c r="F36" s="12"/>
      <c r="G36" s="12"/>
      <c r="H36" s="12"/>
      <c r="I36" s="12"/>
      <c r="J36" s="12"/>
      <c r="K36" s="12">
        <v>13626</v>
      </c>
      <c r="L36" s="12">
        <v>22302</v>
      </c>
      <c r="M36" s="12">
        <v>32485</v>
      </c>
      <c r="N36" s="12">
        <v>50613</v>
      </c>
      <c r="O36" s="6">
        <v>17675</v>
      </c>
      <c r="P36" s="12">
        <v>26810</v>
      </c>
      <c r="Q36" s="12">
        <v>35152</v>
      </c>
      <c r="R36" s="12">
        <v>40392</v>
      </c>
      <c r="T36" s="39" t="s">
        <v>266</v>
      </c>
      <c r="U36" s="6">
        <v>1178</v>
      </c>
      <c r="V36" s="6">
        <v>1500</v>
      </c>
      <c r="W36" s="6">
        <v>2870</v>
      </c>
      <c r="X36" s="6">
        <v>5303.0000000000009</v>
      </c>
      <c r="Y36" s="6">
        <v>17766</v>
      </c>
      <c r="Z36" s="6">
        <v>14943.000000000005</v>
      </c>
      <c r="AA36" s="6">
        <v>8483.9999999999945</v>
      </c>
      <c r="AB36" s="6">
        <v>12224.000000000004</v>
      </c>
      <c r="AC36" s="6">
        <v>13626</v>
      </c>
      <c r="AD36" s="6">
        <v>8676</v>
      </c>
      <c r="AE36" s="6">
        <v>10183.000000000002</v>
      </c>
      <c r="AF36" s="6">
        <v>18128</v>
      </c>
      <c r="AG36" s="6">
        <v>17675</v>
      </c>
      <c r="AH36" s="6">
        <v>9135</v>
      </c>
      <c r="AI36" s="6">
        <v>8342</v>
      </c>
      <c r="AJ36" s="6">
        <v>5240</v>
      </c>
    </row>
    <row r="37" spans="1:36">
      <c r="A37" s="93" t="s">
        <v>264</v>
      </c>
      <c r="B37" s="93" t="s">
        <v>271</v>
      </c>
      <c r="C37" s="12"/>
      <c r="D37" s="12"/>
      <c r="E37" s="12"/>
      <c r="F37" s="12"/>
      <c r="G37" s="12"/>
      <c r="H37" s="12"/>
      <c r="I37" s="12"/>
      <c r="J37" s="12"/>
      <c r="K37" s="12">
        <f t="shared" ref="K37:Q37" si="11">K3-K36</f>
        <v>556667</v>
      </c>
      <c r="L37" s="12">
        <f t="shared" si="11"/>
        <v>1131300</v>
      </c>
      <c r="M37" s="12">
        <f t="shared" si="11"/>
        <v>1702569</v>
      </c>
      <c r="N37" s="12">
        <f t="shared" si="11"/>
        <v>2277354</v>
      </c>
      <c r="O37" s="12">
        <f t="shared" si="11"/>
        <v>576350</v>
      </c>
      <c r="P37" s="12">
        <f t="shared" si="11"/>
        <v>1169772</v>
      </c>
      <c r="Q37" s="12">
        <f t="shared" si="11"/>
        <v>1783024</v>
      </c>
      <c r="R37" s="12">
        <f>R3-R36</f>
        <v>2398938</v>
      </c>
      <c r="T37" s="39" t="s">
        <v>264</v>
      </c>
      <c r="U37" s="10">
        <f>+U36-U69</f>
        <v>1178</v>
      </c>
      <c r="V37" s="10">
        <f t="shared" ref="V37:AB37" si="12">+V36-V69</f>
        <v>1500</v>
      </c>
      <c r="W37" s="10">
        <f t="shared" si="12"/>
        <v>2870</v>
      </c>
      <c r="X37" s="10">
        <f t="shared" si="12"/>
        <v>5303.0000000000009</v>
      </c>
      <c r="Y37" s="10">
        <f t="shared" si="12"/>
        <v>17766</v>
      </c>
      <c r="Z37" s="10">
        <f t="shared" si="12"/>
        <v>14943.000000000005</v>
      </c>
      <c r="AA37" s="10">
        <f t="shared" si="12"/>
        <v>8483.9999999999945</v>
      </c>
      <c r="AB37" s="10">
        <f t="shared" si="12"/>
        <v>12224.000000000004</v>
      </c>
      <c r="AC37" s="10">
        <f t="shared" ref="AC37:AI37" si="13">AC3-AC36</f>
        <v>556667</v>
      </c>
      <c r="AD37" s="10">
        <f t="shared" si="13"/>
        <v>574633</v>
      </c>
      <c r="AE37" s="10">
        <f t="shared" si="13"/>
        <v>571269</v>
      </c>
      <c r="AF37" s="10">
        <f t="shared" si="13"/>
        <v>574785</v>
      </c>
      <c r="AG37" s="10">
        <f t="shared" si="13"/>
        <v>576350</v>
      </c>
      <c r="AH37" s="10">
        <f t="shared" si="13"/>
        <v>593422</v>
      </c>
      <c r="AI37" s="10">
        <f t="shared" si="13"/>
        <v>613252</v>
      </c>
      <c r="AJ37" s="10">
        <f>AJ3-AJ36</f>
        <v>615914</v>
      </c>
    </row>
    <row r="38" spans="1:36">
      <c r="A38" s="93" t="s">
        <v>265</v>
      </c>
      <c r="B38" s="93" t="s">
        <v>270</v>
      </c>
      <c r="C38" s="12"/>
      <c r="D38" s="12"/>
      <c r="E38" s="12"/>
      <c r="F38" s="12"/>
      <c r="G38" s="12"/>
      <c r="H38" s="12"/>
      <c r="I38" s="12"/>
      <c r="J38" s="12"/>
      <c r="K38" s="12">
        <f t="shared" ref="K38:P38" si="14">K5-K36</f>
        <v>351136</v>
      </c>
      <c r="L38" s="12">
        <f t="shared" si="14"/>
        <v>733693</v>
      </c>
      <c r="M38" s="12">
        <f t="shared" si="14"/>
        <v>1116664</v>
      </c>
      <c r="N38" s="12">
        <f t="shared" si="14"/>
        <v>1505838</v>
      </c>
      <c r="O38" s="12">
        <f t="shared" si="14"/>
        <v>393488</v>
      </c>
      <c r="P38" s="12">
        <f t="shared" si="14"/>
        <v>814257</v>
      </c>
      <c r="Q38" s="12">
        <f>Q5-Q36</f>
        <v>1252538</v>
      </c>
      <c r="R38" s="12">
        <f>R5-R36</f>
        <v>1696468</v>
      </c>
      <c r="T38" s="39" t="s">
        <v>265</v>
      </c>
      <c r="U38" s="10"/>
      <c r="V38" s="10"/>
      <c r="W38" s="10"/>
      <c r="X38" s="10"/>
      <c r="Y38" s="10"/>
      <c r="Z38" s="10"/>
      <c r="AA38" s="10"/>
      <c r="AB38" s="10"/>
      <c r="AC38" s="10">
        <f t="shared" ref="AC38:AH38" si="15">AC5-AC36</f>
        <v>351136</v>
      </c>
      <c r="AD38" s="10">
        <f t="shared" si="15"/>
        <v>382557</v>
      </c>
      <c r="AE38" s="10">
        <f t="shared" si="15"/>
        <v>382971</v>
      </c>
      <c r="AF38" s="10">
        <f t="shared" si="15"/>
        <v>389174</v>
      </c>
      <c r="AG38" s="10">
        <f t="shared" si="15"/>
        <v>393488</v>
      </c>
      <c r="AH38" s="10">
        <f t="shared" si="15"/>
        <v>420769</v>
      </c>
      <c r="AI38" s="10">
        <f>AI5-AI36</f>
        <v>438281</v>
      </c>
      <c r="AJ38" s="10">
        <f>AJ5-AJ36</f>
        <v>443930</v>
      </c>
    </row>
    <row r="39" spans="1:36" ht="24">
      <c r="A39" s="93" t="s">
        <v>268</v>
      </c>
      <c r="B39" s="93" t="s">
        <v>272</v>
      </c>
      <c r="C39" s="12"/>
      <c r="D39" s="12"/>
      <c r="E39" s="12"/>
      <c r="F39" s="12"/>
      <c r="G39" s="12"/>
      <c r="H39" s="12"/>
      <c r="I39" s="12"/>
      <c r="J39" s="12"/>
      <c r="K39" s="12">
        <f t="shared" ref="K39:P39" si="16">K11+K36</f>
        <v>11352</v>
      </c>
      <c r="L39" s="12">
        <f t="shared" si="16"/>
        <v>19905</v>
      </c>
      <c r="M39" s="12">
        <f t="shared" si="16"/>
        <v>23623</v>
      </c>
      <c r="N39" s="12">
        <f t="shared" si="16"/>
        <v>41521</v>
      </c>
      <c r="O39" s="12">
        <f t="shared" si="16"/>
        <v>12582</v>
      </c>
      <c r="P39" s="12">
        <f t="shared" si="16"/>
        <v>18964</v>
      </c>
      <c r="Q39" s="12">
        <f>Q11+Q36</f>
        <v>23353</v>
      </c>
      <c r="R39" s="12">
        <f>R11+R36</f>
        <v>22203</v>
      </c>
      <c r="T39" s="39" t="s">
        <v>268</v>
      </c>
      <c r="U39" s="6">
        <f>+U37+U60</f>
        <v>1178</v>
      </c>
      <c r="V39" s="6">
        <f t="shared" ref="V39:AB39" si="17">+V37+V60</f>
        <v>1500</v>
      </c>
      <c r="W39" s="6">
        <f t="shared" si="17"/>
        <v>2870</v>
      </c>
      <c r="X39" s="6">
        <f t="shared" si="17"/>
        <v>5303.0000000000009</v>
      </c>
      <c r="Y39" s="6">
        <f t="shared" si="17"/>
        <v>17766</v>
      </c>
      <c r="Z39" s="6">
        <f t="shared" si="17"/>
        <v>14943.000000000005</v>
      </c>
      <c r="AA39" s="6">
        <f t="shared" si="17"/>
        <v>8483.9999999999945</v>
      </c>
      <c r="AB39" s="6">
        <f t="shared" si="17"/>
        <v>12224.000000000004</v>
      </c>
      <c r="AC39" s="6">
        <f t="shared" ref="AC39:AH39" si="18">AC11+AC36</f>
        <v>11352</v>
      </c>
      <c r="AD39" s="6">
        <f t="shared" si="18"/>
        <v>8553</v>
      </c>
      <c r="AE39" s="6">
        <f t="shared" si="18"/>
        <v>3718.0000000000018</v>
      </c>
      <c r="AF39" s="6">
        <f t="shared" si="18"/>
        <v>17898</v>
      </c>
      <c r="AG39" s="6">
        <f t="shared" si="18"/>
        <v>12582</v>
      </c>
      <c r="AH39" s="6">
        <f t="shared" si="18"/>
        <v>6382</v>
      </c>
      <c r="AI39" s="6">
        <f>AI11+AI36</f>
        <v>4389</v>
      </c>
      <c r="AJ39" s="6">
        <f>AJ11+AJ36</f>
        <v>-1150</v>
      </c>
    </row>
  </sheetData>
  <pageMargins left="0.23622047244094491" right="0.23622047244094491" top="0.15748031496062992" bottom="0.19685039370078741" header="0.11811023622047245" footer="0.11811023622047245"/>
  <pageSetup paperSize="9" scale="80" orientation="landscape" r:id="rId1"/>
  <colBreaks count="1" manualBreakCount="1">
    <brk id="18"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43"/>
  <sheetViews>
    <sheetView zoomScale="80" zoomScaleNormal="80" workbookViewId="0"/>
  </sheetViews>
  <sheetFormatPr defaultColWidth="8.75" defaultRowHeight="12" outlineLevelCol="1"/>
  <cols>
    <col min="1" max="1" width="31.08203125" style="1" customWidth="1"/>
    <col min="2" max="2" width="38.25" style="1" customWidth="1"/>
    <col min="3" max="9" width="10.9140625" style="1" hidden="1" customWidth="1" outlineLevel="1"/>
    <col min="10" max="10" width="12.33203125" style="1" hidden="1" customWidth="1" outlineLevel="1"/>
    <col min="11" max="11" width="12.33203125" style="1" customWidth="1" collapsed="1"/>
    <col min="12" max="18" width="12.25" style="1" customWidth="1"/>
    <col min="19" max="16384" width="8.75" style="1"/>
  </cols>
  <sheetData>
    <row r="1" spans="1:18" ht="29.15" customHeight="1" thickBot="1">
      <c r="A1" s="83" t="s">
        <v>188</v>
      </c>
    </row>
    <row r="2" spans="1:18" ht="12.5" thickBot="1">
      <c r="A2" s="31" t="s">
        <v>203</v>
      </c>
      <c r="B2" s="31" t="s">
        <v>204</v>
      </c>
      <c r="C2" s="33" t="s">
        <v>190</v>
      </c>
      <c r="D2" s="33" t="s">
        <v>193</v>
      </c>
      <c r="E2" s="33" t="s">
        <v>198</v>
      </c>
      <c r="F2" s="33" t="s">
        <v>214</v>
      </c>
      <c r="G2" s="33" t="s">
        <v>220</v>
      </c>
      <c r="H2" s="33" t="s">
        <v>236</v>
      </c>
      <c r="I2" s="33" t="s">
        <v>241</v>
      </c>
      <c r="J2" s="33" t="s">
        <v>244</v>
      </c>
      <c r="K2" s="33" t="s">
        <v>246</v>
      </c>
      <c r="L2" s="33" t="s">
        <v>254</v>
      </c>
      <c r="M2" s="33" t="s">
        <v>255</v>
      </c>
      <c r="N2" s="33" t="s">
        <v>261</v>
      </c>
      <c r="O2" s="33" t="s">
        <v>263</v>
      </c>
      <c r="P2" s="33" t="s">
        <v>274</v>
      </c>
      <c r="Q2" s="33" t="s">
        <v>279</v>
      </c>
      <c r="R2" s="33" t="s">
        <v>284</v>
      </c>
    </row>
    <row r="3" spans="1:18" ht="18.649999999999999" customHeight="1">
      <c r="A3" s="32" t="s">
        <v>31</v>
      </c>
      <c r="B3" s="32" t="s">
        <v>118</v>
      </c>
      <c r="C3" s="20">
        <v>2768736</v>
      </c>
      <c r="D3" s="20">
        <v>2607158</v>
      </c>
      <c r="E3" s="20">
        <v>1705231</v>
      </c>
      <c r="F3" s="20">
        <v>2612242</v>
      </c>
      <c r="G3" s="20">
        <v>2352981</v>
      </c>
      <c r="H3" s="20">
        <v>1939354</v>
      </c>
      <c r="I3" s="20">
        <v>1709617</v>
      </c>
      <c r="J3" s="20">
        <v>1946384</v>
      </c>
      <c r="K3" s="20">
        <v>2504314</v>
      </c>
      <c r="L3" s="20">
        <v>2937399</v>
      </c>
      <c r="M3" s="20">
        <v>2366287</v>
      </c>
      <c r="N3" s="20">
        <v>1778768</v>
      </c>
      <c r="O3" s="20">
        <v>1828486</v>
      </c>
      <c r="P3" s="20">
        <v>2171577</v>
      </c>
      <c r="Q3" s="20">
        <v>3672323</v>
      </c>
      <c r="R3" s="20">
        <v>2080151</v>
      </c>
    </row>
    <row r="4" spans="1:18" ht="24">
      <c r="A4" s="32" t="s">
        <v>32</v>
      </c>
      <c r="B4" s="32" t="s">
        <v>119</v>
      </c>
      <c r="C4" s="20">
        <v>1537594</v>
      </c>
      <c r="D4" s="20">
        <v>2137332</v>
      </c>
      <c r="E4" s="20">
        <v>1710686</v>
      </c>
      <c r="F4" s="20">
        <v>2384744</v>
      </c>
      <c r="G4" s="20">
        <v>3612336</v>
      </c>
      <c r="H4" s="20">
        <v>3735715</v>
      </c>
      <c r="I4" s="20">
        <v>2772346</v>
      </c>
      <c r="J4" s="20">
        <v>2348754</v>
      </c>
      <c r="K4" s="20">
        <v>1655946</v>
      </c>
      <c r="L4" s="20">
        <v>2298550</v>
      </c>
      <c r="M4" s="20">
        <v>1368503</v>
      </c>
      <c r="N4" s="20">
        <v>1267811</v>
      </c>
      <c r="O4" s="20">
        <v>968741</v>
      </c>
      <c r="P4" s="20">
        <v>517562</v>
      </c>
      <c r="Q4" s="20">
        <v>355619</v>
      </c>
      <c r="R4" s="20">
        <v>254205</v>
      </c>
    </row>
    <row r="5" spans="1:18" ht="56.4" customHeight="1">
      <c r="A5" s="32" t="s">
        <v>33</v>
      </c>
      <c r="B5" s="32" t="s">
        <v>249</v>
      </c>
      <c r="C5" s="20">
        <v>798242</v>
      </c>
      <c r="D5" s="20">
        <v>1077603</v>
      </c>
      <c r="E5" s="20">
        <v>1400238</v>
      </c>
      <c r="F5" s="20">
        <v>1417276</v>
      </c>
      <c r="G5" s="20">
        <v>2444174</v>
      </c>
      <c r="H5" s="20">
        <v>4167242</v>
      </c>
      <c r="I5" s="20">
        <v>1031819</v>
      </c>
      <c r="J5" s="20">
        <v>768650</v>
      </c>
      <c r="K5" s="20">
        <v>702651</v>
      </c>
      <c r="L5" s="20">
        <v>461529</v>
      </c>
      <c r="M5" s="20">
        <v>659132</v>
      </c>
      <c r="N5" s="20">
        <v>564574</v>
      </c>
      <c r="O5" s="20">
        <v>664478</v>
      </c>
      <c r="P5" s="20">
        <v>624682</v>
      </c>
      <c r="Q5" s="20">
        <v>598544</v>
      </c>
      <c r="R5" s="20">
        <v>531125</v>
      </c>
    </row>
    <row r="6" spans="1:18">
      <c r="A6" s="32" t="s">
        <v>34</v>
      </c>
      <c r="B6" s="32" t="s">
        <v>120</v>
      </c>
      <c r="C6" s="20">
        <v>91606</v>
      </c>
      <c r="D6" s="20">
        <v>74739</v>
      </c>
      <c r="E6" s="20">
        <v>45399</v>
      </c>
      <c r="F6" s="20">
        <v>18999</v>
      </c>
      <c r="G6" s="20">
        <v>81517</v>
      </c>
      <c r="H6" s="20">
        <v>41205</v>
      </c>
      <c r="I6" s="20">
        <v>127583</v>
      </c>
      <c r="J6" s="20">
        <v>70833</v>
      </c>
      <c r="K6" s="20">
        <v>128594</v>
      </c>
      <c r="L6" s="20">
        <v>16756</v>
      </c>
      <c r="M6" s="20">
        <v>69039</v>
      </c>
      <c r="N6" s="20">
        <v>17934</v>
      </c>
      <c r="O6" s="20">
        <v>201111</v>
      </c>
      <c r="P6" s="20">
        <v>378203</v>
      </c>
      <c r="Q6" s="20">
        <v>576930</v>
      </c>
      <c r="R6" s="20">
        <v>885880</v>
      </c>
    </row>
    <row r="7" spans="1:18">
      <c r="A7" s="32" t="s">
        <v>35</v>
      </c>
      <c r="B7" s="32" t="s">
        <v>121</v>
      </c>
      <c r="C7" s="20">
        <v>42848551</v>
      </c>
      <c r="D7" s="20">
        <v>43374424</v>
      </c>
      <c r="E7" s="20">
        <v>43847116</v>
      </c>
      <c r="F7" s="20">
        <v>44142699</v>
      </c>
      <c r="G7" s="20">
        <v>46534715</v>
      </c>
      <c r="H7" s="20">
        <v>46998230</v>
      </c>
      <c r="I7" s="20">
        <v>46191208</v>
      </c>
      <c r="J7" s="20">
        <v>46369381</v>
      </c>
      <c r="K7" s="20">
        <v>46085236</v>
      </c>
      <c r="L7" s="20">
        <v>46964628</v>
      </c>
      <c r="M7" s="20">
        <v>46391040</v>
      </c>
      <c r="N7" s="20">
        <v>47020043</v>
      </c>
      <c r="O7" s="20">
        <v>46992403</v>
      </c>
      <c r="P7" s="20">
        <v>47316323</v>
      </c>
      <c r="Q7" s="20">
        <v>47593226</v>
      </c>
      <c r="R7" s="20">
        <v>47411078</v>
      </c>
    </row>
    <row r="8" spans="1:18">
      <c r="A8" s="32" t="s">
        <v>36</v>
      </c>
      <c r="B8" s="32" t="s">
        <v>122</v>
      </c>
      <c r="C8" s="20">
        <v>8595232</v>
      </c>
      <c r="D8" s="20">
        <v>8758361</v>
      </c>
      <c r="E8" s="20">
        <v>10772902</v>
      </c>
      <c r="F8" s="20">
        <v>9249537</v>
      </c>
      <c r="G8" s="20">
        <v>8085567</v>
      </c>
      <c r="H8" s="20">
        <v>10872451</v>
      </c>
      <c r="I8" s="20">
        <v>12246421</v>
      </c>
      <c r="J8" s="20">
        <v>13874320</v>
      </c>
      <c r="K8" s="20">
        <v>13212877</v>
      </c>
      <c r="L8" s="20">
        <v>13110183</v>
      </c>
      <c r="M8" s="20">
        <v>15184081</v>
      </c>
      <c r="N8" s="20">
        <v>17135347</v>
      </c>
      <c r="O8" s="20">
        <v>16594550</v>
      </c>
      <c r="P8" s="20">
        <v>17467016</v>
      </c>
      <c r="Q8" s="20">
        <v>16485662</v>
      </c>
      <c r="R8" s="20">
        <v>19066946</v>
      </c>
    </row>
    <row r="9" spans="1:18" ht="17.149999999999999" customHeight="1">
      <c r="A9" s="32" t="s">
        <v>37</v>
      </c>
      <c r="B9" s="32" t="s">
        <v>123</v>
      </c>
      <c r="C9" s="20">
        <v>3009</v>
      </c>
      <c r="D9" s="20">
        <v>3009</v>
      </c>
      <c r="E9" s="20">
        <v>3009</v>
      </c>
      <c r="F9" s="20">
        <v>2762</v>
      </c>
      <c r="G9" s="20">
        <v>1336</v>
      </c>
      <c r="H9" s="20">
        <v>1378</v>
      </c>
      <c r="I9" s="20">
        <v>1378</v>
      </c>
      <c r="J9" s="20">
        <v>1378</v>
      </c>
      <c r="K9" s="20">
        <v>1378</v>
      </c>
      <c r="L9" s="20">
        <v>1378</v>
      </c>
      <c r="M9" s="20">
        <v>1378</v>
      </c>
      <c r="N9" s="20">
        <v>0</v>
      </c>
      <c r="O9" s="20">
        <v>0</v>
      </c>
      <c r="P9" s="20">
        <v>0</v>
      </c>
      <c r="Q9" s="20">
        <v>0</v>
      </c>
      <c r="R9" s="20">
        <v>0</v>
      </c>
    </row>
    <row r="10" spans="1:18" ht="27.65" customHeight="1">
      <c r="A10" s="32" t="s">
        <v>38</v>
      </c>
      <c r="B10" s="32" t="s">
        <v>124</v>
      </c>
      <c r="C10" s="20">
        <v>335297</v>
      </c>
      <c r="D10" s="20">
        <v>319027</v>
      </c>
      <c r="E10" s="20">
        <v>381830</v>
      </c>
      <c r="F10" s="20">
        <v>155642</v>
      </c>
      <c r="G10" s="20">
        <v>81105</v>
      </c>
      <c r="H10" s="20">
        <v>131067</v>
      </c>
      <c r="I10" s="20">
        <v>44762</v>
      </c>
      <c r="J10" s="20">
        <v>0</v>
      </c>
      <c r="K10" s="20">
        <v>216140</v>
      </c>
      <c r="L10" s="20">
        <v>46852</v>
      </c>
      <c r="M10" s="20">
        <v>86311</v>
      </c>
      <c r="N10" s="20">
        <v>90520</v>
      </c>
      <c r="O10" s="20">
        <v>128263</v>
      </c>
      <c r="P10" s="20">
        <v>65148</v>
      </c>
      <c r="Q10" s="20">
        <v>305451</v>
      </c>
      <c r="R10" s="20">
        <v>0</v>
      </c>
    </row>
    <row r="11" spans="1:18" ht="24">
      <c r="A11" s="32" t="s">
        <v>41</v>
      </c>
      <c r="B11" s="32" t="s">
        <v>125</v>
      </c>
      <c r="C11" s="20">
        <v>199566</v>
      </c>
      <c r="D11" s="20">
        <v>197509</v>
      </c>
      <c r="E11" s="20">
        <v>192188</v>
      </c>
      <c r="F11" s="20">
        <v>212568</v>
      </c>
      <c r="G11" s="20">
        <v>203158</v>
      </c>
      <c r="H11" s="20">
        <v>199197</v>
      </c>
      <c r="I11" s="20">
        <v>197669</v>
      </c>
      <c r="J11" s="20">
        <v>218199</v>
      </c>
      <c r="K11" s="20">
        <v>215690</v>
      </c>
      <c r="L11" s="20">
        <v>208950</v>
      </c>
      <c r="M11" s="20">
        <v>206704</v>
      </c>
      <c r="N11" s="20">
        <v>226385</v>
      </c>
      <c r="O11" s="20">
        <v>220716</v>
      </c>
      <c r="P11" s="20">
        <v>232355</v>
      </c>
      <c r="Q11" s="20">
        <v>235489</v>
      </c>
      <c r="R11" s="20">
        <v>265636</v>
      </c>
    </row>
    <row r="12" spans="1:18" ht="12.5" thickBot="1">
      <c r="A12" s="32" t="s">
        <v>39</v>
      </c>
      <c r="B12" s="32" t="s">
        <v>126</v>
      </c>
      <c r="C12" s="20">
        <v>708781</v>
      </c>
      <c r="D12" s="20">
        <v>681761</v>
      </c>
      <c r="E12" s="20">
        <v>599663</v>
      </c>
      <c r="F12" s="20">
        <v>544013</v>
      </c>
      <c r="G12" s="20">
        <v>657336</v>
      </c>
      <c r="H12" s="20">
        <v>790984</v>
      </c>
      <c r="I12" s="20">
        <v>783332</v>
      </c>
      <c r="J12" s="20">
        <v>637357</v>
      </c>
      <c r="K12" s="20">
        <v>593103</v>
      </c>
      <c r="L12" s="20">
        <v>649473</v>
      </c>
      <c r="M12" s="20">
        <v>805581</v>
      </c>
      <c r="N12" s="20">
        <v>691405</v>
      </c>
      <c r="O12" s="20">
        <v>707171</v>
      </c>
      <c r="P12" s="20">
        <v>715981</v>
      </c>
      <c r="Q12" s="20">
        <v>644632</v>
      </c>
      <c r="R12" s="20">
        <v>646394</v>
      </c>
    </row>
    <row r="13" spans="1:18" ht="12.5" thickBot="1">
      <c r="A13" s="31" t="s">
        <v>40</v>
      </c>
      <c r="B13" s="31" t="s">
        <v>127</v>
      </c>
      <c r="C13" s="21">
        <f t="shared" ref="C13:H13" si="0">SUM(C3:C12)</f>
        <v>57886614</v>
      </c>
      <c r="D13" s="21">
        <f t="shared" si="0"/>
        <v>59230923</v>
      </c>
      <c r="E13" s="21">
        <f t="shared" si="0"/>
        <v>60658262</v>
      </c>
      <c r="F13" s="21">
        <f t="shared" si="0"/>
        <v>60740482</v>
      </c>
      <c r="G13" s="21">
        <f t="shared" si="0"/>
        <v>64054225</v>
      </c>
      <c r="H13" s="21">
        <f t="shared" si="0"/>
        <v>68876823</v>
      </c>
      <c r="I13" s="21">
        <f t="shared" ref="I13:O13" si="1">SUM(I3:I12)</f>
        <v>65106135</v>
      </c>
      <c r="J13" s="21">
        <f t="shared" si="1"/>
        <v>66235256</v>
      </c>
      <c r="K13" s="21">
        <f t="shared" si="1"/>
        <v>65315929</v>
      </c>
      <c r="L13" s="21">
        <f t="shared" si="1"/>
        <v>66695698</v>
      </c>
      <c r="M13" s="21">
        <f t="shared" si="1"/>
        <v>67138056</v>
      </c>
      <c r="N13" s="21">
        <f t="shared" si="1"/>
        <v>68792787</v>
      </c>
      <c r="O13" s="21">
        <f t="shared" si="1"/>
        <v>68305919</v>
      </c>
      <c r="P13" s="21">
        <f>SUM(P3:P12)</f>
        <v>69488847</v>
      </c>
      <c r="Q13" s="21">
        <f>SUM(Q3:Q12)</f>
        <v>70467876</v>
      </c>
      <c r="R13" s="21">
        <f>SUM(R3:R12)</f>
        <v>71141415</v>
      </c>
    </row>
    <row r="14" spans="1:18">
      <c r="A14" s="19"/>
      <c r="B14" s="19"/>
      <c r="C14" s="58"/>
      <c r="D14" s="58"/>
      <c r="E14" s="58"/>
      <c r="F14" s="58"/>
      <c r="G14" s="58"/>
      <c r="H14" s="58"/>
      <c r="I14" s="58"/>
      <c r="J14" s="58"/>
      <c r="K14" s="58"/>
      <c r="L14" s="58"/>
      <c r="M14" s="58"/>
      <c r="N14" s="58"/>
      <c r="O14" s="58"/>
      <c r="P14" s="58"/>
      <c r="Q14" s="58"/>
      <c r="R14" s="58"/>
    </row>
    <row r="15" spans="1:18" ht="12.5" thickBot="1">
      <c r="A15" s="19"/>
      <c r="B15" s="19"/>
      <c r="C15" s="58"/>
      <c r="D15" s="58"/>
      <c r="E15" s="58"/>
      <c r="F15" s="58"/>
      <c r="G15" s="58"/>
      <c r="H15" s="58"/>
      <c r="I15" s="58"/>
      <c r="J15" s="58"/>
      <c r="K15" s="58"/>
      <c r="L15" s="58"/>
      <c r="M15" s="58"/>
      <c r="N15" s="58"/>
      <c r="O15" s="58"/>
      <c r="P15" s="58"/>
      <c r="Q15" s="58"/>
      <c r="R15" s="58"/>
    </row>
    <row r="16" spans="1:18" ht="12.5" thickBot="1">
      <c r="A16" s="31" t="s">
        <v>205</v>
      </c>
      <c r="B16" s="31" t="s">
        <v>206</v>
      </c>
      <c r="C16" s="33" t="s">
        <v>190</v>
      </c>
      <c r="D16" s="33" t="s">
        <v>193</v>
      </c>
      <c r="E16" s="33" t="s">
        <v>198</v>
      </c>
      <c r="F16" s="33" t="s">
        <v>214</v>
      </c>
      <c r="G16" s="33" t="s">
        <v>220</v>
      </c>
      <c r="H16" s="33" t="s">
        <v>236</v>
      </c>
      <c r="I16" s="33" t="s">
        <v>241</v>
      </c>
      <c r="J16" s="33" t="s">
        <v>244</v>
      </c>
      <c r="K16" s="33" t="s">
        <v>246</v>
      </c>
      <c r="L16" s="33" t="s">
        <v>254</v>
      </c>
      <c r="M16" s="33" t="s">
        <v>255</v>
      </c>
      <c r="N16" s="33" t="s">
        <v>261</v>
      </c>
      <c r="O16" s="33" t="s">
        <v>263</v>
      </c>
      <c r="P16" s="33" t="s">
        <v>274</v>
      </c>
      <c r="Q16" s="33" t="s">
        <v>279</v>
      </c>
      <c r="R16" s="33" t="s">
        <v>284</v>
      </c>
    </row>
    <row r="17" spans="1:18">
      <c r="A17" s="32" t="s">
        <v>42</v>
      </c>
      <c r="B17" s="34" t="s">
        <v>128</v>
      </c>
      <c r="C17" s="22">
        <v>2345403</v>
      </c>
      <c r="D17" s="22">
        <v>2169331</v>
      </c>
      <c r="E17" s="22">
        <v>2086795</v>
      </c>
      <c r="F17" s="22">
        <v>2037269</v>
      </c>
      <c r="G17" s="22">
        <v>2282879</v>
      </c>
      <c r="H17" s="22">
        <v>2152713</v>
      </c>
      <c r="I17" s="22">
        <v>1952739</v>
      </c>
      <c r="J17" s="22">
        <v>1443921</v>
      </c>
      <c r="K17" s="22">
        <v>1488173</v>
      </c>
      <c r="L17" s="22">
        <v>1538246</v>
      </c>
      <c r="M17" s="22">
        <v>1448983</v>
      </c>
      <c r="N17" s="22">
        <v>1270745</v>
      </c>
      <c r="O17" s="22">
        <v>1405179</v>
      </c>
      <c r="P17" s="22">
        <v>1404356</v>
      </c>
      <c r="Q17" s="22">
        <v>2173068</v>
      </c>
      <c r="R17" s="22">
        <v>2353131</v>
      </c>
    </row>
    <row r="18" spans="1:18" ht="57.75" customHeight="1">
      <c r="A18" s="32" t="s">
        <v>251</v>
      </c>
      <c r="B18" s="32" t="s">
        <v>250</v>
      </c>
      <c r="C18" s="22">
        <v>456308</v>
      </c>
      <c r="D18" s="22">
        <v>552515</v>
      </c>
      <c r="E18" s="22">
        <v>715968</v>
      </c>
      <c r="F18" s="22">
        <v>629790</v>
      </c>
      <c r="G18" s="22">
        <v>463920</v>
      </c>
      <c r="H18" s="22">
        <v>421816</v>
      </c>
      <c r="I18" s="22">
        <v>355143</v>
      </c>
      <c r="J18" s="22">
        <v>344689</v>
      </c>
      <c r="K18" s="22">
        <v>537736</v>
      </c>
      <c r="L18" s="22">
        <v>325946</v>
      </c>
      <c r="M18" s="22">
        <v>364515</v>
      </c>
      <c r="N18" s="22">
        <v>339015</v>
      </c>
      <c r="O18" s="22">
        <v>250869</v>
      </c>
      <c r="P18" s="22">
        <v>367135</v>
      </c>
      <c r="Q18" s="22">
        <v>397288</v>
      </c>
      <c r="R18" s="22">
        <v>190111</v>
      </c>
    </row>
    <row r="19" spans="1:18">
      <c r="A19" s="32" t="s">
        <v>34</v>
      </c>
      <c r="B19" s="34" t="s">
        <v>120</v>
      </c>
      <c r="C19" s="22">
        <v>1016638</v>
      </c>
      <c r="D19" s="22">
        <v>1024290</v>
      </c>
      <c r="E19" s="22">
        <v>1061741</v>
      </c>
      <c r="F19" s="22">
        <v>1390225</v>
      </c>
      <c r="G19" s="22">
        <v>2923298</v>
      </c>
      <c r="H19" s="22">
        <v>3115574</v>
      </c>
      <c r="I19" s="22">
        <v>2204614</v>
      </c>
      <c r="J19" s="22">
        <v>2132053</v>
      </c>
      <c r="K19" s="22">
        <v>1611079</v>
      </c>
      <c r="L19" s="22">
        <v>1608139</v>
      </c>
      <c r="M19" s="22">
        <v>1162165</v>
      </c>
      <c r="N19" s="22">
        <v>1149654</v>
      </c>
      <c r="O19" s="22">
        <v>518866</v>
      </c>
      <c r="P19" s="22">
        <v>435590</v>
      </c>
      <c r="Q19" s="22">
        <v>317135</v>
      </c>
      <c r="R19" s="22">
        <v>176853</v>
      </c>
    </row>
    <row r="20" spans="1:18">
      <c r="A20" s="32" t="s">
        <v>43</v>
      </c>
      <c r="B20" s="34" t="s">
        <v>129</v>
      </c>
      <c r="C20" s="22">
        <v>45320166</v>
      </c>
      <c r="D20" s="22">
        <v>45970077</v>
      </c>
      <c r="E20" s="22">
        <v>47434828</v>
      </c>
      <c r="F20" s="22">
        <v>47591244</v>
      </c>
      <c r="G20" s="22">
        <v>48973195</v>
      </c>
      <c r="H20" s="22">
        <v>50233616</v>
      </c>
      <c r="I20" s="22">
        <v>51188116</v>
      </c>
      <c r="J20" s="22">
        <v>52810389</v>
      </c>
      <c r="K20" s="22">
        <v>52009985</v>
      </c>
      <c r="L20" s="22">
        <v>53360177</v>
      </c>
      <c r="M20" s="22">
        <v>54297732</v>
      </c>
      <c r="N20" s="22">
        <v>55875609</v>
      </c>
      <c r="O20" s="22">
        <v>56375553</v>
      </c>
      <c r="P20" s="22">
        <v>56987958</v>
      </c>
      <c r="Q20" s="22">
        <v>56678526</v>
      </c>
      <c r="R20" s="22">
        <v>57273255</v>
      </c>
    </row>
    <row r="21" spans="1:18" ht="30" customHeight="1">
      <c r="A21" s="32" t="s">
        <v>44</v>
      </c>
      <c r="B21" s="34" t="s">
        <v>130</v>
      </c>
      <c r="C21" s="22">
        <v>333135</v>
      </c>
      <c r="D21" s="22">
        <v>678826</v>
      </c>
      <c r="E21" s="22">
        <v>314310</v>
      </c>
      <c r="F21" s="22">
        <v>59765</v>
      </c>
      <c r="G21" s="22">
        <v>72234</v>
      </c>
      <c r="H21" s="22">
        <v>3364076</v>
      </c>
      <c r="I21" s="22">
        <v>0</v>
      </c>
      <c r="J21" s="22">
        <v>0</v>
      </c>
      <c r="K21" s="22">
        <v>0</v>
      </c>
      <c r="L21" s="22">
        <v>0</v>
      </c>
      <c r="M21" s="22">
        <v>0</v>
      </c>
      <c r="N21" s="22">
        <v>0</v>
      </c>
      <c r="O21" s="22">
        <v>0</v>
      </c>
      <c r="P21" s="22">
        <v>0</v>
      </c>
      <c r="Q21" s="22">
        <v>172345</v>
      </c>
      <c r="R21" s="22">
        <v>0</v>
      </c>
    </row>
    <row r="22" spans="1:18" ht="24">
      <c r="A22" s="32" t="s">
        <v>45</v>
      </c>
      <c r="B22" s="34" t="s">
        <v>131</v>
      </c>
      <c r="C22" s="22">
        <v>1219466</v>
      </c>
      <c r="D22" s="22">
        <v>1622932</v>
      </c>
      <c r="E22" s="22">
        <v>1749009</v>
      </c>
      <c r="F22" s="22">
        <v>1739461</v>
      </c>
      <c r="G22" s="22">
        <v>1563574</v>
      </c>
      <c r="H22" s="22">
        <v>1814038</v>
      </c>
      <c r="I22" s="22">
        <v>1621710</v>
      </c>
      <c r="J22" s="22">
        <v>1134250</v>
      </c>
      <c r="K22" s="22">
        <v>1279090</v>
      </c>
      <c r="L22" s="22">
        <v>1358137</v>
      </c>
      <c r="M22" s="22">
        <v>1327933</v>
      </c>
      <c r="N22" s="22">
        <v>1313836</v>
      </c>
      <c r="O22" s="22">
        <v>821786</v>
      </c>
      <c r="P22" s="22">
        <v>1158424</v>
      </c>
      <c r="Q22" s="22">
        <v>1191578</v>
      </c>
      <c r="R22" s="22">
        <v>1156473</v>
      </c>
    </row>
    <row r="23" spans="1:18">
      <c r="A23" s="32" t="s">
        <v>46</v>
      </c>
      <c r="B23" s="34" t="s">
        <v>132</v>
      </c>
      <c r="C23" s="22">
        <v>79317</v>
      </c>
      <c r="D23" s="22">
        <v>93727</v>
      </c>
      <c r="E23" s="22">
        <v>97420</v>
      </c>
      <c r="F23" s="22">
        <v>98574</v>
      </c>
      <c r="G23" s="22">
        <v>94563</v>
      </c>
      <c r="H23" s="22">
        <v>70415</v>
      </c>
      <c r="I23" s="22">
        <v>69764</v>
      </c>
      <c r="J23" s="22">
        <v>30848</v>
      </c>
      <c r="K23" s="22">
        <v>41205</v>
      </c>
      <c r="L23" s="22">
        <v>53994</v>
      </c>
      <c r="M23" s="22">
        <v>38335</v>
      </c>
      <c r="N23" s="22">
        <v>49415</v>
      </c>
      <c r="O23" s="22">
        <v>46574</v>
      </c>
      <c r="P23" s="22">
        <v>46300</v>
      </c>
      <c r="Q23" s="22">
        <v>54768</v>
      </c>
      <c r="R23" s="22">
        <v>67752</v>
      </c>
    </row>
    <row r="24" spans="1:18">
      <c r="A24" s="32" t="s">
        <v>48</v>
      </c>
      <c r="B24" s="35" t="s">
        <v>134</v>
      </c>
      <c r="C24" s="23">
        <v>630008</v>
      </c>
      <c r="D24" s="23">
        <v>624583</v>
      </c>
      <c r="E24" s="23">
        <v>630534</v>
      </c>
      <c r="F24" s="23">
        <v>639739</v>
      </c>
      <c r="G24" s="23">
        <v>617126</v>
      </c>
      <c r="H24" s="23">
        <v>629489</v>
      </c>
      <c r="I24" s="23">
        <v>639516</v>
      </c>
      <c r="J24" s="23">
        <v>639631</v>
      </c>
      <c r="K24" s="23">
        <v>644035</v>
      </c>
      <c r="L24" s="23">
        <v>664206</v>
      </c>
      <c r="M24" s="23">
        <v>650279</v>
      </c>
      <c r="N24" s="23">
        <v>664004</v>
      </c>
      <c r="O24" s="23">
        <v>636241</v>
      </c>
      <c r="P24" s="23">
        <v>634318</v>
      </c>
      <c r="Q24" s="23">
        <v>649636</v>
      </c>
      <c r="R24" s="23">
        <v>701971</v>
      </c>
    </row>
    <row r="25" spans="1:18" ht="12.5" thickBot="1">
      <c r="A25" s="32" t="s">
        <v>47</v>
      </c>
      <c r="B25" s="32" t="s">
        <v>133</v>
      </c>
      <c r="C25" s="24">
        <v>971826</v>
      </c>
      <c r="D25" s="24">
        <v>1059684</v>
      </c>
      <c r="E25" s="24">
        <v>911658</v>
      </c>
      <c r="F25" s="24">
        <v>788936</v>
      </c>
      <c r="G25" s="24">
        <v>1221026</v>
      </c>
      <c r="H25" s="24">
        <v>1051778</v>
      </c>
      <c r="I25" s="24">
        <v>927843</v>
      </c>
      <c r="J25" s="24">
        <v>1256310</v>
      </c>
      <c r="K25" s="24">
        <v>1054926</v>
      </c>
      <c r="L25" s="24">
        <v>1064203</v>
      </c>
      <c r="M25" s="24">
        <v>996220</v>
      </c>
      <c r="N25" s="24">
        <v>1189304</v>
      </c>
      <c r="O25" s="24">
        <v>1107321</v>
      </c>
      <c r="P25" s="24">
        <v>1114998</v>
      </c>
      <c r="Q25" s="24">
        <v>1239478</v>
      </c>
      <c r="R25" s="24">
        <v>1449270</v>
      </c>
    </row>
    <row r="26" spans="1:18" ht="12.5" thickBot="1">
      <c r="A26" s="31" t="s">
        <v>49</v>
      </c>
      <c r="B26" s="31" t="s">
        <v>135</v>
      </c>
      <c r="C26" s="25">
        <f t="shared" ref="C26:H26" si="2">SUM(C17:C25)</f>
        <v>52372267</v>
      </c>
      <c r="D26" s="25">
        <f t="shared" si="2"/>
        <v>53795965</v>
      </c>
      <c r="E26" s="25">
        <f t="shared" si="2"/>
        <v>55002263</v>
      </c>
      <c r="F26" s="25">
        <f t="shared" si="2"/>
        <v>54975003</v>
      </c>
      <c r="G26" s="25">
        <f t="shared" si="2"/>
        <v>58211815</v>
      </c>
      <c r="H26" s="25">
        <f t="shared" si="2"/>
        <v>62853515</v>
      </c>
      <c r="I26" s="25">
        <f t="shared" ref="I26:O26" si="3">SUM(I17:I25)</f>
        <v>58959445</v>
      </c>
      <c r="J26" s="25">
        <f t="shared" si="3"/>
        <v>59792091</v>
      </c>
      <c r="K26" s="25">
        <f t="shared" si="3"/>
        <v>58666229</v>
      </c>
      <c r="L26" s="25">
        <f t="shared" si="3"/>
        <v>59973048</v>
      </c>
      <c r="M26" s="25">
        <f t="shared" si="3"/>
        <v>60286162</v>
      </c>
      <c r="N26" s="25">
        <f t="shared" si="3"/>
        <v>61851582</v>
      </c>
      <c r="O26" s="25">
        <f t="shared" si="3"/>
        <v>61162389</v>
      </c>
      <c r="P26" s="25">
        <f>SUM(P17:P25)</f>
        <v>62149079</v>
      </c>
      <c r="Q26" s="25">
        <f>SUM(Q17:Q25)</f>
        <v>62873822</v>
      </c>
      <c r="R26" s="25">
        <f>SUM(R17:R25)</f>
        <v>63368816</v>
      </c>
    </row>
    <row r="27" spans="1:18">
      <c r="A27" s="36" t="s">
        <v>50</v>
      </c>
      <c r="B27" s="36" t="s">
        <v>136</v>
      </c>
      <c r="C27" s="26"/>
      <c r="D27" s="26"/>
      <c r="E27" s="26"/>
      <c r="F27" s="26"/>
      <c r="G27" s="26"/>
      <c r="H27" s="26"/>
      <c r="I27" s="26"/>
      <c r="J27" s="26"/>
      <c r="K27" s="26"/>
      <c r="L27" s="26"/>
      <c r="M27" s="26"/>
      <c r="N27" s="26"/>
      <c r="O27" s="26"/>
      <c r="P27" s="26"/>
      <c r="Q27" s="26"/>
      <c r="R27" s="26"/>
    </row>
    <row r="28" spans="1:18">
      <c r="A28" s="32" t="s">
        <v>51</v>
      </c>
      <c r="B28" s="32" t="s">
        <v>137</v>
      </c>
      <c r="C28" s="24">
        <v>1213117</v>
      </c>
      <c r="D28" s="24">
        <v>1213117</v>
      </c>
      <c r="E28" s="24">
        <v>1213117</v>
      </c>
      <c r="F28" s="24">
        <v>1213117</v>
      </c>
      <c r="G28" s="24">
        <v>1213117</v>
      </c>
      <c r="H28" s="24">
        <v>1213117</v>
      </c>
      <c r="I28" s="24">
        <v>1213117</v>
      </c>
      <c r="J28" s="24">
        <v>1213117</v>
      </c>
      <c r="K28" s="24">
        <v>1213117</v>
      </c>
      <c r="L28" s="24">
        <v>1213117</v>
      </c>
      <c r="M28" s="24">
        <v>1213117</v>
      </c>
      <c r="N28" s="24">
        <v>1213117</v>
      </c>
      <c r="O28" s="24">
        <v>1213117</v>
      </c>
      <c r="P28" s="24">
        <v>1213117</v>
      </c>
      <c r="Q28" s="24">
        <v>1213117</v>
      </c>
      <c r="R28" s="24">
        <v>1213117</v>
      </c>
    </row>
    <row r="29" spans="1:18">
      <c r="A29" s="32" t="s">
        <v>52</v>
      </c>
      <c r="B29" s="32" t="s">
        <v>138</v>
      </c>
      <c r="C29" s="24">
        <v>1147502</v>
      </c>
      <c r="D29" s="24">
        <v>1147502</v>
      </c>
      <c r="E29" s="24">
        <v>1147502</v>
      </c>
      <c r="F29" s="24">
        <v>1147502</v>
      </c>
      <c r="G29" s="24">
        <v>1147502</v>
      </c>
      <c r="H29" s="24">
        <v>1147502</v>
      </c>
      <c r="I29" s="24">
        <v>1147502</v>
      </c>
      <c r="J29" s="24">
        <v>1147502</v>
      </c>
      <c r="K29" s="24">
        <v>1147502</v>
      </c>
      <c r="L29" s="24">
        <v>1147502</v>
      </c>
      <c r="M29" s="24">
        <v>1147502</v>
      </c>
      <c r="N29" s="24">
        <v>1147502</v>
      </c>
      <c r="O29" s="24">
        <v>1147502</v>
      </c>
      <c r="P29" s="24">
        <v>1147502</v>
      </c>
      <c r="Q29" s="24">
        <v>1147502</v>
      </c>
      <c r="R29" s="24">
        <v>1147502</v>
      </c>
    </row>
    <row r="30" spans="1:18">
      <c r="A30" s="32" t="s">
        <v>53</v>
      </c>
      <c r="B30" s="32" t="s">
        <v>139</v>
      </c>
      <c r="C30" s="24">
        <v>-136457</v>
      </c>
      <c r="D30" s="60">
        <v>-112576</v>
      </c>
      <c r="E30" s="60">
        <v>-64719</v>
      </c>
      <c r="F30" s="60">
        <v>-112911</v>
      </c>
      <c r="G30" s="60">
        <v>-198549</v>
      </c>
      <c r="H30" s="60">
        <v>-182889</v>
      </c>
      <c r="I30" s="60">
        <v>-225182</v>
      </c>
      <c r="J30" s="24">
        <v>18250</v>
      </c>
      <c r="K30" s="24">
        <v>87600</v>
      </c>
      <c r="L30" s="24">
        <v>-133214</v>
      </c>
      <c r="M30" s="24">
        <v>-142782</v>
      </c>
      <c r="N30" s="24">
        <v>-184962</v>
      </c>
      <c r="O30" s="24">
        <v>-123135</v>
      </c>
      <c r="P30" s="24">
        <v>-100495</v>
      </c>
      <c r="Q30" s="24">
        <v>-33693</v>
      </c>
      <c r="R30" s="24">
        <v>-34795</v>
      </c>
    </row>
    <row r="31" spans="1:18">
      <c r="A31" s="32" t="s">
        <v>54</v>
      </c>
      <c r="B31" s="32" t="s">
        <v>140</v>
      </c>
      <c r="C31" s="24">
        <v>3290185</v>
      </c>
      <c r="D31" s="24">
        <v>3186915</v>
      </c>
      <c r="E31" s="24">
        <v>3360099</v>
      </c>
      <c r="F31" s="24">
        <v>3517771</v>
      </c>
      <c r="G31" s="24">
        <v>3680340</v>
      </c>
      <c r="H31" s="24">
        <v>3845578</v>
      </c>
      <c r="I31" s="24">
        <v>4011253</v>
      </c>
      <c r="J31" s="24">
        <v>4064296</v>
      </c>
      <c r="K31" s="24">
        <v>4201481</v>
      </c>
      <c r="L31" s="24">
        <v>4495245</v>
      </c>
      <c r="M31" s="24">
        <v>4634057</v>
      </c>
      <c r="N31" s="24">
        <v>4765548</v>
      </c>
      <c r="O31" s="24">
        <v>4906046</v>
      </c>
      <c r="P31" s="24">
        <v>5079644</v>
      </c>
      <c r="Q31" s="24">
        <v>5267128</v>
      </c>
      <c r="R31" s="24">
        <v>5446775</v>
      </c>
    </row>
    <row r="32" spans="1:18" ht="24">
      <c r="A32" s="32" t="s">
        <v>55</v>
      </c>
      <c r="B32" s="32" t="s">
        <v>141</v>
      </c>
      <c r="C32" s="24">
        <v>5514347</v>
      </c>
      <c r="D32" s="24">
        <f>+D31+D30+D29+D28</f>
        <v>5434958</v>
      </c>
      <c r="E32" s="24">
        <v>5655999</v>
      </c>
      <c r="F32" s="24">
        <f t="shared" ref="F32:L32" si="4">SUM(F28:F31)</f>
        <v>5765479</v>
      </c>
      <c r="G32" s="24">
        <f t="shared" si="4"/>
        <v>5842410</v>
      </c>
      <c r="H32" s="24">
        <f t="shared" si="4"/>
        <v>6023308</v>
      </c>
      <c r="I32" s="24">
        <f t="shared" si="4"/>
        <v>6146690</v>
      </c>
      <c r="J32" s="24">
        <f t="shared" si="4"/>
        <v>6443165</v>
      </c>
      <c r="K32" s="24">
        <f t="shared" si="4"/>
        <v>6649700</v>
      </c>
      <c r="L32" s="24">
        <f t="shared" si="4"/>
        <v>6722650</v>
      </c>
      <c r="M32" s="24">
        <v>6851894</v>
      </c>
      <c r="N32" s="24">
        <v>6941205</v>
      </c>
      <c r="O32" s="24">
        <v>7143530</v>
      </c>
      <c r="P32" s="24">
        <v>7339768</v>
      </c>
      <c r="Q32" s="24">
        <v>7594054</v>
      </c>
      <c r="R32" s="24">
        <f>SUM(R28:R31)</f>
        <v>7772599</v>
      </c>
    </row>
    <row r="33" spans="1:18" ht="16.399999999999999" customHeight="1" thickBot="1">
      <c r="A33" s="32" t="s">
        <v>19</v>
      </c>
      <c r="B33" s="32" t="s">
        <v>142</v>
      </c>
      <c r="C33" s="24">
        <v>0</v>
      </c>
      <c r="D33" s="24">
        <v>0</v>
      </c>
      <c r="E33" s="24">
        <v>0</v>
      </c>
      <c r="F33" s="24">
        <v>0</v>
      </c>
      <c r="G33" s="24">
        <v>0</v>
      </c>
      <c r="H33" s="24">
        <v>0</v>
      </c>
      <c r="I33" s="24">
        <v>0</v>
      </c>
      <c r="J33" s="24">
        <v>0</v>
      </c>
      <c r="K33" s="24">
        <v>0</v>
      </c>
      <c r="L33" s="24">
        <v>0</v>
      </c>
      <c r="M33" s="24">
        <v>0</v>
      </c>
      <c r="N33" s="24">
        <v>0</v>
      </c>
      <c r="O33" s="24">
        <v>0</v>
      </c>
      <c r="P33" s="24">
        <v>0</v>
      </c>
      <c r="Q33" s="24">
        <v>0</v>
      </c>
      <c r="R33" s="24">
        <v>0</v>
      </c>
    </row>
    <row r="34" spans="1:18" ht="12.5" thickBot="1">
      <c r="A34" s="31" t="s">
        <v>56</v>
      </c>
      <c r="B34" s="31" t="s">
        <v>143</v>
      </c>
      <c r="C34" s="25">
        <f t="shared" ref="C34:H34" si="5">+C33+C32</f>
        <v>5514347</v>
      </c>
      <c r="D34" s="25">
        <f t="shared" si="5"/>
        <v>5434958</v>
      </c>
      <c r="E34" s="25">
        <f t="shared" si="5"/>
        <v>5655999</v>
      </c>
      <c r="F34" s="25">
        <f t="shared" si="5"/>
        <v>5765479</v>
      </c>
      <c r="G34" s="25">
        <f t="shared" si="5"/>
        <v>5842410</v>
      </c>
      <c r="H34" s="25">
        <f t="shared" si="5"/>
        <v>6023308</v>
      </c>
      <c r="I34" s="25">
        <f t="shared" ref="I34:O34" si="6">+I33+I32</f>
        <v>6146690</v>
      </c>
      <c r="J34" s="25">
        <f t="shared" si="6"/>
        <v>6443165</v>
      </c>
      <c r="K34" s="25">
        <f t="shared" si="6"/>
        <v>6649700</v>
      </c>
      <c r="L34" s="25">
        <f t="shared" si="6"/>
        <v>6722650</v>
      </c>
      <c r="M34" s="25">
        <f t="shared" si="6"/>
        <v>6851894</v>
      </c>
      <c r="N34" s="25">
        <f t="shared" si="6"/>
        <v>6941205</v>
      </c>
      <c r="O34" s="25">
        <f t="shared" si="6"/>
        <v>7143530</v>
      </c>
      <c r="P34" s="25">
        <f>+P33+P32</f>
        <v>7339768</v>
      </c>
      <c r="Q34" s="25">
        <f>+Q33+Q32</f>
        <v>7594054</v>
      </c>
      <c r="R34" s="25">
        <f>+R33+R32</f>
        <v>7772599</v>
      </c>
    </row>
    <row r="35" spans="1:18" ht="12.5" thickBot="1">
      <c r="A35" s="31" t="s">
        <v>57</v>
      </c>
      <c r="B35" s="31" t="s">
        <v>144</v>
      </c>
      <c r="C35" s="21">
        <f t="shared" ref="C35:H35" si="7">+C34+C26</f>
        <v>57886614</v>
      </c>
      <c r="D35" s="21">
        <f t="shared" si="7"/>
        <v>59230923</v>
      </c>
      <c r="E35" s="21">
        <f t="shared" si="7"/>
        <v>60658262</v>
      </c>
      <c r="F35" s="21">
        <f t="shared" si="7"/>
        <v>60740482</v>
      </c>
      <c r="G35" s="21">
        <f t="shared" si="7"/>
        <v>64054225</v>
      </c>
      <c r="H35" s="21">
        <f t="shared" si="7"/>
        <v>68876823</v>
      </c>
      <c r="I35" s="21">
        <f t="shared" ref="I35:O35" si="8">+I34+I26</f>
        <v>65106135</v>
      </c>
      <c r="J35" s="21">
        <f t="shared" si="8"/>
        <v>66235256</v>
      </c>
      <c r="K35" s="21">
        <f t="shared" si="8"/>
        <v>65315929</v>
      </c>
      <c r="L35" s="21">
        <f t="shared" si="8"/>
        <v>66695698</v>
      </c>
      <c r="M35" s="21">
        <f t="shared" si="8"/>
        <v>67138056</v>
      </c>
      <c r="N35" s="21">
        <f t="shared" si="8"/>
        <v>68792787</v>
      </c>
      <c r="O35" s="21">
        <f t="shared" si="8"/>
        <v>68305919</v>
      </c>
      <c r="P35" s="21">
        <f>+P34+P26</f>
        <v>69488847</v>
      </c>
      <c r="Q35" s="21">
        <f>+Q34+Q26</f>
        <v>70467876</v>
      </c>
      <c r="R35" s="21">
        <f>+R34+R26</f>
        <v>71141415</v>
      </c>
    </row>
    <row r="36" spans="1:18">
      <c r="L36" s="28"/>
      <c r="M36" s="28"/>
      <c r="N36" s="28"/>
      <c r="O36" s="28"/>
      <c r="P36" s="28"/>
      <c r="Q36" s="28"/>
      <c r="R36" s="28"/>
    </row>
    <row r="37" spans="1:18">
      <c r="L37" s="28"/>
      <c r="M37" s="28"/>
      <c r="N37" s="28"/>
      <c r="O37" s="28"/>
      <c r="P37" s="28"/>
      <c r="Q37" s="28"/>
      <c r="R37" s="28"/>
    </row>
    <row r="38" spans="1:18">
      <c r="L38" s="28"/>
      <c r="M38" s="28"/>
      <c r="N38" s="28"/>
      <c r="O38" s="28"/>
      <c r="P38" s="28"/>
      <c r="Q38" s="28"/>
      <c r="R38" s="28"/>
    </row>
    <row r="39" spans="1:18">
      <c r="L39" s="28"/>
      <c r="M39" s="28"/>
      <c r="N39" s="28"/>
      <c r="O39" s="28"/>
      <c r="P39" s="28"/>
      <c r="Q39" s="28"/>
      <c r="R39" s="28"/>
    </row>
    <row r="40" spans="1:18">
      <c r="L40" s="28"/>
      <c r="M40" s="28"/>
      <c r="N40" s="28"/>
      <c r="O40" s="28"/>
      <c r="P40" s="28"/>
      <c r="Q40" s="28"/>
      <c r="R40" s="28"/>
    </row>
    <row r="43" spans="1:18">
      <c r="L43" s="28"/>
      <c r="M43" s="28"/>
      <c r="N43" s="28"/>
      <c r="O43" s="28"/>
      <c r="P43" s="28"/>
      <c r="Q43" s="28"/>
      <c r="R43" s="28"/>
    </row>
  </sheetData>
  <pageMargins left="0.51181102362204722" right="0.51181102362204722" top="0.55118110236220474" bottom="0.55118110236220474" header="0.31496062992125984" footer="0.31496062992125984"/>
  <pageSetup paperSize="9" scale="7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9</vt:i4>
      </vt:variant>
    </vt:vector>
  </HeadingPairs>
  <TitlesOfParts>
    <vt:vector size="9" baseType="lpstr">
      <vt:lpstr>P&amp;L</vt:lpstr>
      <vt:lpstr>Interest</vt:lpstr>
      <vt:lpstr>Fees</vt:lpstr>
      <vt:lpstr>Cost</vt:lpstr>
      <vt:lpstr>BS</vt:lpstr>
      <vt:lpstr>L&amp;D</vt:lpstr>
      <vt:lpstr>Capital Adequacy</vt:lpstr>
      <vt:lpstr>P&amp;L old</vt:lpstr>
      <vt:lpstr>BS old</vt:lpstr>
    </vt:vector>
  </TitlesOfParts>
  <Company>MILLENNIUM BANK 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MAREK ADAM MISKOW</dc:creator>
  <cp:lastModifiedBy>MISKOW MAREK</cp:lastModifiedBy>
  <cp:lastPrinted>2019-07-31T11:53:09Z</cp:lastPrinted>
  <dcterms:created xsi:type="dcterms:W3CDTF">2012-01-27T14:48:26Z</dcterms:created>
  <dcterms:modified xsi:type="dcterms:W3CDTF">2020-05-09T09:40:24Z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{615489C7-5661-4B3C-A04A-BA5EB5B65358}</vt:lpwstr>
  </property>
</Properties>
</file>